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oudie\Desktop\"/>
    </mc:Choice>
  </mc:AlternateContent>
  <xr:revisionPtr revIDLastSave="0" documentId="8_{6BB1002F-1C3A-4133-9486-14BAE2AB259B}" xr6:coauthVersionLast="47" xr6:coauthVersionMax="47" xr10:uidLastSave="{00000000-0000-0000-0000-000000000000}"/>
  <bookViews>
    <workbookView xWindow="28680" yWindow="-120" windowWidth="29040" windowHeight="15840" xr2:uid="{D57FE014-3772-2244-981F-303F9BDF09D6}"/>
  </bookViews>
  <sheets>
    <sheet name="Override" sheetId="11" r:id="rId1"/>
    <sheet name="FY25 LS + Historical Gr." sheetId="12" r:id="rId2"/>
    <sheet name="FY25 LS + Moderated Gr." sheetId="4" r:id="rId3"/>
    <sheet name="FY25 LS + Moderated Gr. + Rev" sheetId="13" r:id="rId4"/>
    <sheet name="FY25 OR + Moderated Gr. + Rev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14" l="1"/>
  <c r="H64" i="14"/>
  <c r="G64" i="14"/>
  <c r="F64" i="14"/>
  <c r="D64" i="14"/>
  <c r="E64" i="14"/>
  <c r="E75" i="14"/>
  <c r="F75" i="14"/>
  <c r="G75" i="14"/>
  <c r="H75" i="14"/>
  <c r="D75" i="14"/>
  <c r="B56" i="14"/>
  <c r="B58" i="14"/>
  <c r="D76" i="13"/>
  <c r="E64" i="13"/>
  <c r="F64" i="13"/>
  <c r="G64" i="13"/>
  <c r="H64" i="13"/>
  <c r="D64" i="13"/>
  <c r="B58" i="13"/>
  <c r="H77" i="13"/>
  <c r="G77" i="13"/>
  <c r="F77" i="13"/>
  <c r="E77" i="13"/>
  <c r="D77" i="13"/>
  <c r="H74" i="4"/>
  <c r="G74" i="4"/>
  <c r="F74" i="4"/>
  <c r="E74" i="4"/>
  <c r="D74" i="4"/>
  <c r="H78" i="14"/>
  <c r="G78" i="14"/>
  <c r="F78" i="14"/>
  <c r="E78" i="14"/>
  <c r="D78" i="14"/>
  <c r="H76" i="14"/>
  <c r="G76" i="14"/>
  <c r="F76" i="14"/>
  <c r="E76" i="14"/>
  <c r="D76" i="14"/>
  <c r="H72" i="14"/>
  <c r="G72" i="14"/>
  <c r="F72" i="14"/>
  <c r="E72" i="14"/>
  <c r="L42" i="14"/>
  <c r="E41" i="14"/>
  <c r="F41" i="14" s="1"/>
  <c r="B36" i="14"/>
  <c r="K35" i="14"/>
  <c r="J35" i="14"/>
  <c r="F34" i="14"/>
  <c r="I34" i="14" s="1"/>
  <c r="E34" i="14"/>
  <c r="D34" i="14"/>
  <c r="J34" i="14" s="1"/>
  <c r="G34" i="14" s="1"/>
  <c r="H34" i="14" s="1"/>
  <c r="J33" i="14"/>
  <c r="G33" i="14" s="1"/>
  <c r="H33" i="14" s="1"/>
  <c r="K33" i="14" s="1"/>
  <c r="I33" i="14"/>
  <c r="E32" i="14"/>
  <c r="F32" i="14" s="1"/>
  <c r="J31" i="14"/>
  <c r="G31" i="14" s="1"/>
  <c r="H31" i="14" s="1"/>
  <c r="K31" i="14" s="1"/>
  <c r="I31" i="14"/>
  <c r="E30" i="14"/>
  <c r="F30" i="14" s="1"/>
  <c r="D28" i="14"/>
  <c r="E28" i="14" s="1"/>
  <c r="F28" i="14" s="1"/>
  <c r="C28" i="14"/>
  <c r="D27" i="14"/>
  <c r="C27" i="14"/>
  <c r="D26" i="14"/>
  <c r="E26" i="14" s="1"/>
  <c r="F22" i="14"/>
  <c r="F77" i="14" s="1"/>
  <c r="E22" i="14"/>
  <c r="E77" i="14" s="1"/>
  <c r="D22" i="14"/>
  <c r="C22" i="14"/>
  <c r="B22" i="14"/>
  <c r="K21" i="14"/>
  <c r="J21" i="14"/>
  <c r="I21" i="14"/>
  <c r="E20" i="14"/>
  <c r="F20" i="14" s="1"/>
  <c r="B20" i="14"/>
  <c r="D19" i="14"/>
  <c r="E18" i="14"/>
  <c r="H80" i="13"/>
  <c r="G80" i="13"/>
  <c r="F80" i="13"/>
  <c r="E80" i="13"/>
  <c r="D80" i="13"/>
  <c r="H78" i="13"/>
  <c r="G78" i="13"/>
  <c r="F78" i="13"/>
  <c r="E78" i="13"/>
  <c r="D78" i="13"/>
  <c r="H74" i="13"/>
  <c r="G74" i="13"/>
  <c r="F74" i="13"/>
  <c r="E74" i="13"/>
  <c r="B56" i="13"/>
  <c r="L42" i="13"/>
  <c r="E41" i="13"/>
  <c r="F41" i="13" s="1"/>
  <c r="B36" i="13"/>
  <c r="K35" i="13"/>
  <c r="J35" i="13"/>
  <c r="F34" i="13"/>
  <c r="I34" i="13" s="1"/>
  <c r="E34" i="13"/>
  <c r="D34" i="13"/>
  <c r="J33" i="13"/>
  <c r="G33" i="13" s="1"/>
  <c r="H33" i="13" s="1"/>
  <c r="K33" i="13" s="1"/>
  <c r="I33" i="13"/>
  <c r="E32" i="13"/>
  <c r="F32" i="13" s="1"/>
  <c r="J31" i="13"/>
  <c r="G31" i="13" s="1"/>
  <c r="H31" i="13" s="1"/>
  <c r="K31" i="13" s="1"/>
  <c r="I31" i="13"/>
  <c r="E30" i="13"/>
  <c r="F30" i="13" s="1"/>
  <c r="D28" i="13"/>
  <c r="E28" i="13" s="1"/>
  <c r="F28" i="13" s="1"/>
  <c r="C28" i="13"/>
  <c r="D27" i="13"/>
  <c r="C27" i="13"/>
  <c r="D26" i="13"/>
  <c r="E26" i="13" s="1"/>
  <c r="F22" i="13"/>
  <c r="F79" i="13" s="1"/>
  <c r="E22" i="13"/>
  <c r="E79" i="13" s="1"/>
  <c r="D22" i="13"/>
  <c r="C22" i="13"/>
  <c r="B22" i="13"/>
  <c r="K21" i="13"/>
  <c r="J21" i="13"/>
  <c r="I21" i="13"/>
  <c r="E20" i="13"/>
  <c r="F20" i="13" s="1"/>
  <c r="B20" i="13"/>
  <c r="D19" i="13"/>
  <c r="E18" i="13"/>
  <c r="F18" i="13" s="1"/>
  <c r="J18" i="13" s="1"/>
  <c r="H61" i="4"/>
  <c r="G61" i="4"/>
  <c r="F61" i="4"/>
  <c r="E61" i="4"/>
  <c r="D61" i="4"/>
  <c r="B55" i="4"/>
  <c r="B55" i="12"/>
  <c r="H74" i="12"/>
  <c r="G74" i="12"/>
  <c r="F74" i="12"/>
  <c r="E74" i="12"/>
  <c r="D74" i="12"/>
  <c r="D73" i="12"/>
  <c r="H61" i="12"/>
  <c r="G61" i="12"/>
  <c r="F61" i="12"/>
  <c r="E61" i="12"/>
  <c r="D61" i="12"/>
  <c r="H77" i="12"/>
  <c r="G77" i="12"/>
  <c r="F77" i="12"/>
  <c r="E77" i="12"/>
  <c r="D77" i="12"/>
  <c r="H75" i="12"/>
  <c r="G75" i="12"/>
  <c r="F75" i="12"/>
  <c r="E75" i="12"/>
  <c r="D75" i="12"/>
  <c r="H71" i="12"/>
  <c r="G71" i="12"/>
  <c r="F71" i="12"/>
  <c r="E71" i="12"/>
  <c r="B53" i="12"/>
  <c r="L39" i="12"/>
  <c r="E38" i="12"/>
  <c r="F38" i="12" s="1"/>
  <c r="B33" i="12"/>
  <c r="K32" i="12"/>
  <c r="J32" i="12"/>
  <c r="F31" i="12"/>
  <c r="I31" i="12" s="1"/>
  <c r="E31" i="12"/>
  <c r="D31" i="12"/>
  <c r="J30" i="12"/>
  <c r="G30" i="12" s="1"/>
  <c r="H30" i="12" s="1"/>
  <c r="K30" i="12" s="1"/>
  <c r="I30" i="12"/>
  <c r="E29" i="12"/>
  <c r="F29" i="12" s="1"/>
  <c r="J28" i="12"/>
  <c r="G28" i="12" s="1"/>
  <c r="H28" i="12" s="1"/>
  <c r="K28" i="12" s="1"/>
  <c r="I28" i="12"/>
  <c r="E27" i="12"/>
  <c r="F27" i="12" s="1"/>
  <c r="D25" i="12"/>
  <c r="C25" i="12"/>
  <c r="D24" i="12"/>
  <c r="E24" i="12" s="1"/>
  <c r="F24" i="12" s="1"/>
  <c r="C24" i="12"/>
  <c r="I24" i="12" s="1"/>
  <c r="D23" i="12"/>
  <c r="E23" i="12" s="1"/>
  <c r="F19" i="12"/>
  <c r="F76" i="12" s="1"/>
  <c r="E19" i="12"/>
  <c r="E76" i="12" s="1"/>
  <c r="D19" i="12"/>
  <c r="C19" i="12"/>
  <c r="C20" i="12" s="1"/>
  <c r="B19" i="12"/>
  <c r="K18" i="12"/>
  <c r="J18" i="12"/>
  <c r="I18" i="12"/>
  <c r="J17" i="12"/>
  <c r="G17" i="12" s="1"/>
  <c r="H17" i="12" s="1"/>
  <c r="K17" i="12" s="1"/>
  <c r="I17" i="12"/>
  <c r="B17" i="12"/>
  <c r="B20" i="12" s="1"/>
  <c r="F16" i="12"/>
  <c r="E16" i="12"/>
  <c r="D16" i="12"/>
  <c r="J15" i="12"/>
  <c r="G15" i="12" s="1"/>
  <c r="I15" i="12"/>
  <c r="E71" i="11"/>
  <c r="F71" i="11"/>
  <c r="G71" i="11"/>
  <c r="H71" i="11"/>
  <c r="D71" i="11"/>
  <c r="D70" i="11"/>
  <c r="H58" i="11"/>
  <c r="G58" i="11"/>
  <c r="F58" i="11"/>
  <c r="E58" i="11"/>
  <c r="D58" i="11"/>
  <c r="B52" i="11"/>
  <c r="H74" i="11"/>
  <c r="G74" i="11"/>
  <c r="F74" i="11"/>
  <c r="E74" i="11"/>
  <c r="D74" i="11"/>
  <c r="H72" i="11"/>
  <c r="G72" i="11"/>
  <c r="F72" i="11"/>
  <c r="E72" i="11"/>
  <c r="D72" i="11"/>
  <c r="H68" i="11"/>
  <c r="G68" i="11"/>
  <c r="F68" i="11"/>
  <c r="E68" i="11"/>
  <c r="B50" i="11"/>
  <c r="L36" i="11"/>
  <c r="E35" i="11"/>
  <c r="F35" i="11" s="1"/>
  <c r="B30" i="11"/>
  <c r="K29" i="11"/>
  <c r="J29" i="11"/>
  <c r="F28" i="11"/>
  <c r="I28" i="11" s="1"/>
  <c r="E28" i="11"/>
  <c r="D28" i="11"/>
  <c r="J27" i="11"/>
  <c r="G27" i="11" s="1"/>
  <c r="H27" i="11" s="1"/>
  <c r="K27" i="11" s="1"/>
  <c r="I27" i="11"/>
  <c r="E26" i="11"/>
  <c r="F26" i="11" s="1"/>
  <c r="J25" i="11"/>
  <c r="G25" i="11" s="1"/>
  <c r="H25" i="11" s="1"/>
  <c r="K25" i="11" s="1"/>
  <c r="I25" i="11"/>
  <c r="E24" i="11"/>
  <c r="F24" i="11" s="1"/>
  <c r="H22" i="11"/>
  <c r="G22" i="11"/>
  <c r="F22" i="11"/>
  <c r="E22" i="11"/>
  <c r="D22" i="11"/>
  <c r="C22" i="11"/>
  <c r="G21" i="11"/>
  <c r="F21" i="11"/>
  <c r="K21" i="11" s="1"/>
  <c r="E21" i="11"/>
  <c r="D21" i="11"/>
  <c r="C21" i="11"/>
  <c r="H20" i="11"/>
  <c r="G20" i="11"/>
  <c r="F20" i="11"/>
  <c r="I20" i="11" s="1"/>
  <c r="E20" i="11"/>
  <c r="D20" i="11"/>
  <c r="F16" i="11"/>
  <c r="E16" i="11"/>
  <c r="E73" i="11" s="1"/>
  <c r="D16" i="11"/>
  <c r="C16" i="11"/>
  <c r="B16" i="11"/>
  <c r="K15" i="11"/>
  <c r="J15" i="11"/>
  <c r="I15" i="11"/>
  <c r="J14" i="11"/>
  <c r="G14" i="11" s="1"/>
  <c r="H14" i="11" s="1"/>
  <c r="K14" i="11" s="1"/>
  <c r="I14" i="11"/>
  <c r="B14" i="11"/>
  <c r="F13" i="11"/>
  <c r="I13" i="11" s="1"/>
  <c r="E13" i="11"/>
  <c r="D13" i="11"/>
  <c r="J12" i="11"/>
  <c r="G12" i="11" s="1"/>
  <c r="I12" i="11"/>
  <c r="H77" i="4"/>
  <c r="G77" i="4"/>
  <c r="F77" i="4"/>
  <c r="E77" i="4"/>
  <c r="D77" i="4"/>
  <c r="H75" i="4"/>
  <c r="G75" i="4"/>
  <c r="F75" i="4"/>
  <c r="E75" i="4"/>
  <c r="D75" i="4"/>
  <c r="D73" i="4"/>
  <c r="H71" i="4"/>
  <c r="G71" i="4"/>
  <c r="F71" i="4"/>
  <c r="E71" i="4"/>
  <c r="B53" i="4"/>
  <c r="B23" i="14" l="1"/>
  <c r="J22" i="14"/>
  <c r="I22" i="14"/>
  <c r="E27" i="14"/>
  <c r="F27" i="14" s="1"/>
  <c r="G27" i="14" s="1"/>
  <c r="H27" i="14" s="1"/>
  <c r="C36" i="14"/>
  <c r="D23" i="14"/>
  <c r="E81" i="14" s="1"/>
  <c r="B38" i="14"/>
  <c r="G28" i="14"/>
  <c r="H28" i="14" s="1"/>
  <c r="K28" i="14" s="1"/>
  <c r="I30" i="14"/>
  <c r="G30" i="14"/>
  <c r="H30" i="14" s="1"/>
  <c r="K30" i="14" s="1"/>
  <c r="J30" i="14"/>
  <c r="I32" i="14"/>
  <c r="G32" i="14"/>
  <c r="H32" i="14" s="1"/>
  <c r="J32" i="14"/>
  <c r="K32" i="14"/>
  <c r="G22" i="14"/>
  <c r="K34" i="14"/>
  <c r="J41" i="14"/>
  <c r="G41" i="14"/>
  <c r="H41" i="14" s="1"/>
  <c r="K41" i="14" s="1"/>
  <c r="I28" i="14"/>
  <c r="J28" i="14"/>
  <c r="G20" i="14"/>
  <c r="H20" i="14" s="1"/>
  <c r="K20" i="14" s="1"/>
  <c r="F26" i="14"/>
  <c r="J26" i="14" s="1"/>
  <c r="D36" i="14"/>
  <c r="F18" i="14"/>
  <c r="C23" i="14"/>
  <c r="B57" i="14" s="1"/>
  <c r="B59" i="14" s="1"/>
  <c r="E19" i="14"/>
  <c r="F19" i="14" s="1"/>
  <c r="J19" i="14" s="1"/>
  <c r="I20" i="14"/>
  <c r="K27" i="14"/>
  <c r="J20" i="14"/>
  <c r="D77" i="14"/>
  <c r="D79" i="14" s="1"/>
  <c r="J34" i="13"/>
  <c r="I22" i="13"/>
  <c r="B23" i="13"/>
  <c r="B38" i="13" s="1"/>
  <c r="J22" i="13"/>
  <c r="G22" i="13" s="1"/>
  <c r="H22" i="13" s="1"/>
  <c r="I30" i="13"/>
  <c r="J30" i="13"/>
  <c r="G30" i="13"/>
  <c r="H30" i="13" s="1"/>
  <c r="K30" i="13" s="1"/>
  <c r="I32" i="13"/>
  <c r="G32" i="13"/>
  <c r="H32" i="13" s="1"/>
  <c r="K32" i="13" s="1"/>
  <c r="J32" i="13"/>
  <c r="C36" i="13"/>
  <c r="E27" i="13"/>
  <c r="F27" i="13" s="1"/>
  <c r="G27" i="13" s="1"/>
  <c r="H27" i="13" s="1"/>
  <c r="D23" i="13"/>
  <c r="G28" i="13"/>
  <c r="H28" i="13" s="1"/>
  <c r="K28" i="13" s="1"/>
  <c r="G34" i="13"/>
  <c r="H34" i="13" s="1"/>
  <c r="K34" i="13" s="1"/>
  <c r="G41" i="13"/>
  <c r="H41" i="13" s="1"/>
  <c r="K41" i="13" s="1"/>
  <c r="J41" i="13"/>
  <c r="I28" i="13"/>
  <c r="J28" i="13"/>
  <c r="G20" i="13"/>
  <c r="H20" i="13" s="1"/>
  <c r="K20" i="13" s="1"/>
  <c r="F26" i="13"/>
  <c r="D36" i="13"/>
  <c r="C23" i="13"/>
  <c r="B57" i="13" s="1"/>
  <c r="B59" i="13" s="1"/>
  <c r="D62" i="13" s="1"/>
  <c r="D63" i="13" s="1"/>
  <c r="G18" i="13"/>
  <c r="E19" i="13"/>
  <c r="F19" i="13" s="1"/>
  <c r="J19" i="13" s="1"/>
  <c r="I20" i="13"/>
  <c r="D79" i="13"/>
  <c r="D81" i="13" s="1"/>
  <c r="J20" i="13"/>
  <c r="I18" i="13"/>
  <c r="F20" i="12"/>
  <c r="G80" i="12" s="1"/>
  <c r="D20" i="12"/>
  <c r="E80" i="12" s="1"/>
  <c r="B35" i="12"/>
  <c r="J31" i="12"/>
  <c r="G31" i="12" s="1"/>
  <c r="H31" i="12" s="1"/>
  <c r="K31" i="12" s="1"/>
  <c r="C33" i="12"/>
  <c r="C35" i="12" s="1"/>
  <c r="I19" i="12"/>
  <c r="E25" i="12"/>
  <c r="F25" i="12" s="1"/>
  <c r="I25" i="12" s="1"/>
  <c r="J16" i="12"/>
  <c r="G16" i="12" s="1"/>
  <c r="H16" i="12" s="1"/>
  <c r="K16" i="12" s="1"/>
  <c r="J19" i="12"/>
  <c r="G19" i="12" s="1"/>
  <c r="G24" i="12"/>
  <c r="H24" i="12" s="1"/>
  <c r="K24" i="12" s="1"/>
  <c r="I20" i="12"/>
  <c r="I29" i="12"/>
  <c r="G29" i="12"/>
  <c r="H29" i="12" s="1"/>
  <c r="K29" i="12" s="1"/>
  <c r="J29" i="12"/>
  <c r="G38" i="12"/>
  <c r="H38" i="12" s="1"/>
  <c r="K38" i="12" s="1"/>
  <c r="J38" i="12"/>
  <c r="H15" i="12"/>
  <c r="I27" i="12"/>
  <c r="G27" i="12"/>
  <c r="H27" i="12" s="1"/>
  <c r="K27" i="12" s="1"/>
  <c r="J27" i="12"/>
  <c r="F23" i="12"/>
  <c r="J23" i="12" s="1"/>
  <c r="D33" i="12"/>
  <c r="D80" i="12"/>
  <c r="B54" i="12" s="1"/>
  <c r="B56" i="12" s="1"/>
  <c r="D59" i="12" s="1"/>
  <c r="D60" i="12" s="1"/>
  <c r="J24" i="12"/>
  <c r="I16" i="12"/>
  <c r="D76" i="12"/>
  <c r="D78" i="12" s="1"/>
  <c r="J20" i="12"/>
  <c r="E20" i="12"/>
  <c r="J22" i="11"/>
  <c r="B17" i="11"/>
  <c r="B32" i="11" s="1"/>
  <c r="J21" i="11"/>
  <c r="K22" i="11"/>
  <c r="J13" i="11"/>
  <c r="G13" i="11" s="1"/>
  <c r="H13" i="11" s="1"/>
  <c r="K13" i="11" s="1"/>
  <c r="I22" i="11"/>
  <c r="J28" i="11"/>
  <c r="G28" i="11" s="1"/>
  <c r="H28" i="11" s="1"/>
  <c r="K28" i="11" s="1"/>
  <c r="E17" i="11"/>
  <c r="F77" i="11" s="1"/>
  <c r="D30" i="11"/>
  <c r="E30" i="11"/>
  <c r="I16" i="11"/>
  <c r="D17" i="11"/>
  <c r="E77" i="11" s="1"/>
  <c r="C17" i="11"/>
  <c r="F17" i="11"/>
  <c r="G77" i="11" s="1"/>
  <c r="I21" i="11"/>
  <c r="I24" i="11"/>
  <c r="J24" i="11"/>
  <c r="G24" i="11" s="1"/>
  <c r="J35" i="11"/>
  <c r="G35" i="11"/>
  <c r="H35" i="11" s="1"/>
  <c r="K35" i="11" s="1"/>
  <c r="I26" i="11"/>
  <c r="J26" i="11"/>
  <c r="G26" i="11" s="1"/>
  <c r="H26" i="11" s="1"/>
  <c r="K26" i="11" s="1"/>
  <c r="J20" i="11"/>
  <c r="C30" i="11"/>
  <c r="F73" i="11"/>
  <c r="H12" i="11"/>
  <c r="K20" i="11"/>
  <c r="J16" i="11"/>
  <c r="G16" i="11" s="1"/>
  <c r="F30" i="11"/>
  <c r="D73" i="11"/>
  <c r="D75" i="11" s="1"/>
  <c r="D62" i="14" l="1"/>
  <c r="D63" i="14" s="1"/>
  <c r="J27" i="14"/>
  <c r="I27" i="14"/>
  <c r="E36" i="14"/>
  <c r="F23" i="14"/>
  <c r="I23" i="14" s="1"/>
  <c r="I18" i="14"/>
  <c r="J18" i="14"/>
  <c r="G18" i="14"/>
  <c r="I26" i="14"/>
  <c r="F36" i="14"/>
  <c r="G26" i="14"/>
  <c r="H22" i="14"/>
  <c r="G77" i="14"/>
  <c r="G19" i="14"/>
  <c r="H19" i="14" s="1"/>
  <c r="K19" i="14"/>
  <c r="I19" i="14"/>
  <c r="D38" i="14"/>
  <c r="D44" i="14" s="1"/>
  <c r="D65" i="14" s="1"/>
  <c r="E23" i="14"/>
  <c r="C38" i="14"/>
  <c r="D81" i="14"/>
  <c r="F23" i="13"/>
  <c r="I23" i="13" s="1"/>
  <c r="J23" i="13"/>
  <c r="K27" i="13"/>
  <c r="D38" i="13"/>
  <c r="D44" i="13" s="1"/>
  <c r="G79" i="13"/>
  <c r="J27" i="13"/>
  <c r="E83" i="13"/>
  <c r="E23" i="13"/>
  <c r="I27" i="13"/>
  <c r="E36" i="13"/>
  <c r="I26" i="13"/>
  <c r="F36" i="13"/>
  <c r="G26" i="13"/>
  <c r="K22" i="13"/>
  <c r="H79" i="13"/>
  <c r="C38" i="13"/>
  <c r="D83" i="13"/>
  <c r="G19" i="13"/>
  <c r="H19" i="13" s="1"/>
  <c r="K19" i="13" s="1"/>
  <c r="I19" i="13"/>
  <c r="J26" i="13"/>
  <c r="H18" i="13"/>
  <c r="D35" i="12"/>
  <c r="D41" i="12" s="1"/>
  <c r="D62" i="12" s="1"/>
  <c r="D63" i="12" s="1"/>
  <c r="E60" i="12" s="1"/>
  <c r="H19" i="12"/>
  <c r="K19" i="12" s="1"/>
  <c r="G76" i="12"/>
  <c r="J25" i="12"/>
  <c r="E33" i="12"/>
  <c r="E35" i="12" s="1"/>
  <c r="E41" i="12" s="1"/>
  <c r="G25" i="12"/>
  <c r="H25" i="12" s="1"/>
  <c r="K25" i="12" s="1"/>
  <c r="F80" i="12"/>
  <c r="I23" i="12"/>
  <c r="F33" i="12"/>
  <c r="J33" i="12" s="1"/>
  <c r="G23" i="12"/>
  <c r="G20" i="12"/>
  <c r="K15" i="12"/>
  <c r="D77" i="11"/>
  <c r="B51" i="11"/>
  <c r="B53" i="11" s="1"/>
  <c r="D56" i="11" s="1"/>
  <c r="D57" i="11" s="1"/>
  <c r="E32" i="11"/>
  <c r="E38" i="11" s="1"/>
  <c r="D32" i="11"/>
  <c r="D38" i="11" s="1"/>
  <c r="D59" i="11" s="1"/>
  <c r="J17" i="11"/>
  <c r="I17" i="11"/>
  <c r="H24" i="11"/>
  <c r="G30" i="11"/>
  <c r="H16" i="11"/>
  <c r="H17" i="11" s="1"/>
  <c r="G73" i="11"/>
  <c r="K12" i="11"/>
  <c r="I30" i="11"/>
  <c r="C32" i="11"/>
  <c r="F32" i="11"/>
  <c r="F38" i="11" s="1"/>
  <c r="G17" i="11"/>
  <c r="J30" i="11"/>
  <c r="D66" i="14" l="1"/>
  <c r="E63" i="14" s="1"/>
  <c r="G83" i="13"/>
  <c r="F38" i="13"/>
  <c r="F44" i="13" s="1"/>
  <c r="E75" i="13"/>
  <c r="D65" i="13"/>
  <c r="D66" i="13" s="1"/>
  <c r="E63" i="13" s="1"/>
  <c r="K22" i="14"/>
  <c r="H77" i="14"/>
  <c r="E73" i="14"/>
  <c r="E74" i="14" s="1"/>
  <c r="E79" i="14" s="1"/>
  <c r="H18" i="14"/>
  <c r="G23" i="14"/>
  <c r="G36" i="14"/>
  <c r="H26" i="14"/>
  <c r="I36" i="14"/>
  <c r="E38" i="14"/>
  <c r="E44" i="14" s="1"/>
  <c r="F81" i="14"/>
  <c r="G81" i="14"/>
  <c r="F38" i="14"/>
  <c r="F44" i="14" s="1"/>
  <c r="J23" i="14"/>
  <c r="J36" i="14"/>
  <c r="G23" i="13"/>
  <c r="E38" i="13"/>
  <c r="E44" i="13" s="1"/>
  <c r="F83" i="13"/>
  <c r="I36" i="13"/>
  <c r="J36" i="13"/>
  <c r="H83" i="13"/>
  <c r="H23" i="13"/>
  <c r="K18" i="13"/>
  <c r="G36" i="13"/>
  <c r="H26" i="13"/>
  <c r="H20" i="12"/>
  <c r="K20" i="12" s="1"/>
  <c r="F72" i="12"/>
  <c r="E62" i="12"/>
  <c r="E63" i="12" s="1"/>
  <c r="F60" i="12" s="1"/>
  <c r="H76" i="12"/>
  <c r="E72" i="12"/>
  <c r="E73" i="12" s="1"/>
  <c r="E78" i="12" s="1"/>
  <c r="H80" i="12"/>
  <c r="F35" i="12"/>
  <c r="F41" i="12" s="1"/>
  <c r="I33" i="12"/>
  <c r="H23" i="12"/>
  <c r="G33" i="12"/>
  <c r="G35" i="12" s="1"/>
  <c r="G41" i="12" s="1"/>
  <c r="E69" i="11"/>
  <c r="E70" i="11" s="1"/>
  <c r="E75" i="11" s="1"/>
  <c r="D60" i="11"/>
  <c r="E57" i="11" s="1"/>
  <c r="G69" i="11"/>
  <c r="F59" i="11"/>
  <c r="F69" i="11"/>
  <c r="E59" i="11"/>
  <c r="K17" i="11"/>
  <c r="H73" i="11"/>
  <c r="K16" i="11"/>
  <c r="H77" i="11"/>
  <c r="G32" i="11"/>
  <c r="G38" i="11" s="1"/>
  <c r="K24" i="11"/>
  <c r="H30" i="11"/>
  <c r="K30" i="11" s="1"/>
  <c r="F70" i="11" l="1"/>
  <c r="F75" i="11" s="1"/>
  <c r="G70" i="11" s="1"/>
  <c r="G75" i="11" s="1"/>
  <c r="G73" i="14"/>
  <c r="F65" i="14"/>
  <c r="F73" i="14"/>
  <c r="F74" i="14" s="1"/>
  <c r="F79" i="14" s="1"/>
  <c r="G74" i="14" s="1"/>
  <c r="G79" i="14" s="1"/>
  <c r="E65" i="14"/>
  <c r="E66" i="14" s="1"/>
  <c r="F63" i="14" s="1"/>
  <c r="F66" i="14" s="1"/>
  <c r="G63" i="14" s="1"/>
  <c r="F73" i="12"/>
  <c r="F78" i="12" s="1"/>
  <c r="G38" i="13"/>
  <c r="G44" i="13" s="1"/>
  <c r="E76" i="13"/>
  <c r="E81" i="13" s="1"/>
  <c r="F75" i="13"/>
  <c r="E65" i="13"/>
  <c r="E66" i="13" s="1"/>
  <c r="F63" i="13" s="1"/>
  <c r="G75" i="13"/>
  <c r="F65" i="13"/>
  <c r="H23" i="14"/>
  <c r="K18" i="14"/>
  <c r="H36" i="14"/>
  <c r="K36" i="14" s="1"/>
  <c r="K26" i="14"/>
  <c r="H81" i="14"/>
  <c r="G38" i="14"/>
  <c r="G44" i="14" s="1"/>
  <c r="H36" i="13"/>
  <c r="K36" i="13" s="1"/>
  <c r="K26" i="13"/>
  <c r="K23" i="13"/>
  <c r="G72" i="12"/>
  <c r="G73" i="12" s="1"/>
  <c r="G78" i="12" s="1"/>
  <c r="F62" i="12"/>
  <c r="F63" i="12" s="1"/>
  <c r="G60" i="12" s="1"/>
  <c r="H72" i="12"/>
  <c r="G62" i="12"/>
  <c r="H33" i="12"/>
  <c r="K23" i="12"/>
  <c r="E60" i="11"/>
  <c r="F57" i="11" s="1"/>
  <c r="F60" i="11" s="1"/>
  <c r="G57" i="11" s="1"/>
  <c r="H69" i="11"/>
  <c r="H70" i="11" s="1"/>
  <c r="H75" i="11" s="1"/>
  <c r="G59" i="11"/>
  <c r="H32" i="11"/>
  <c r="H38" i="11" s="1"/>
  <c r="H59" i="11" s="1"/>
  <c r="H73" i="14" l="1"/>
  <c r="H74" i="14" s="1"/>
  <c r="H79" i="14" s="1"/>
  <c r="G65" i="14"/>
  <c r="G66" i="14" s="1"/>
  <c r="H63" i="14" s="1"/>
  <c r="F66" i="13"/>
  <c r="G63" i="13" s="1"/>
  <c r="F76" i="13"/>
  <c r="F81" i="13" s="1"/>
  <c r="G76" i="13" s="1"/>
  <c r="G81" i="13" s="1"/>
  <c r="H38" i="13"/>
  <c r="H44" i="13" s="1"/>
  <c r="H65" i="13" s="1"/>
  <c r="H75" i="13"/>
  <c r="G65" i="13"/>
  <c r="H38" i="14"/>
  <c r="H44" i="14" s="1"/>
  <c r="H65" i="14" s="1"/>
  <c r="K23" i="14"/>
  <c r="H73" i="12"/>
  <c r="H78" i="12" s="1"/>
  <c r="G63" i="12"/>
  <c r="H60" i="12" s="1"/>
  <c r="H35" i="12"/>
  <c r="H41" i="12" s="1"/>
  <c r="H62" i="12" s="1"/>
  <c r="K33" i="12"/>
  <c r="G60" i="11"/>
  <c r="H57" i="11" s="1"/>
  <c r="H60" i="11" s="1"/>
  <c r="H66" i="14" l="1"/>
  <c r="H76" i="13"/>
  <c r="H81" i="13" s="1"/>
  <c r="G66" i="13"/>
  <c r="H63" i="13" s="1"/>
  <c r="H66" i="13" s="1"/>
  <c r="H63" i="12"/>
  <c r="K32" i="4" l="1"/>
  <c r="K18" i="4"/>
  <c r="D31" i="4"/>
  <c r="D25" i="4"/>
  <c r="E25" i="4" s="1"/>
  <c r="F25" i="4" s="1"/>
  <c r="G25" i="4" s="1"/>
  <c r="H25" i="4" s="1"/>
  <c r="D24" i="4"/>
  <c r="E24" i="4" s="1"/>
  <c r="F24" i="4" s="1"/>
  <c r="D23" i="4"/>
  <c r="E23" i="4" s="1"/>
  <c r="F23" i="4" s="1"/>
  <c r="G23" i="4" s="1"/>
  <c r="H23" i="4" s="1"/>
  <c r="E29" i="4"/>
  <c r="F29" i="4" s="1"/>
  <c r="G29" i="4" s="1"/>
  <c r="H29" i="4" s="1"/>
  <c r="E27" i="4"/>
  <c r="F27" i="4" s="1"/>
  <c r="G27" i="4" s="1"/>
  <c r="H27" i="4" s="1"/>
  <c r="L39" i="4"/>
  <c r="E38" i="4"/>
  <c r="F38" i="4" s="1"/>
  <c r="B33" i="4"/>
  <c r="J32" i="4"/>
  <c r="F31" i="4"/>
  <c r="I31" i="4" s="1"/>
  <c r="E31" i="4"/>
  <c r="J30" i="4"/>
  <c r="G30" i="4" s="1"/>
  <c r="H30" i="4" s="1"/>
  <c r="K30" i="4" s="1"/>
  <c r="I30" i="4"/>
  <c r="J28" i="4"/>
  <c r="G28" i="4" s="1"/>
  <c r="H28" i="4" s="1"/>
  <c r="K28" i="4" s="1"/>
  <c r="I28" i="4"/>
  <c r="C25" i="4"/>
  <c r="C24" i="4"/>
  <c r="F19" i="4"/>
  <c r="F76" i="4" s="1"/>
  <c r="E19" i="4"/>
  <c r="E76" i="4" s="1"/>
  <c r="D19" i="4"/>
  <c r="D76" i="4" s="1"/>
  <c r="D78" i="4" s="1"/>
  <c r="C19" i="4"/>
  <c r="C20" i="4" s="1"/>
  <c r="B19" i="4"/>
  <c r="J18" i="4"/>
  <c r="I18" i="4"/>
  <c r="J17" i="4"/>
  <c r="I17" i="4"/>
  <c r="G17" i="4"/>
  <c r="H17" i="4" s="1"/>
  <c r="K17" i="4" s="1"/>
  <c r="B17" i="4"/>
  <c r="F16" i="4"/>
  <c r="I16" i="4" s="1"/>
  <c r="E16" i="4"/>
  <c r="D16" i="4"/>
  <c r="J15" i="4"/>
  <c r="G15" i="4" s="1"/>
  <c r="I15" i="4"/>
  <c r="D80" i="4" l="1"/>
  <c r="B54" i="4"/>
  <c r="B56" i="4" s="1"/>
  <c r="D59" i="4" s="1"/>
  <c r="D60" i="4" s="1"/>
  <c r="K25" i="4"/>
  <c r="E20" i="4"/>
  <c r="F80" i="4" s="1"/>
  <c r="G24" i="4"/>
  <c r="H24" i="4" s="1"/>
  <c r="K24" i="4" s="1"/>
  <c r="C33" i="4"/>
  <c r="C35" i="4" s="1"/>
  <c r="K23" i="4"/>
  <c r="K27" i="4"/>
  <c r="D33" i="4"/>
  <c r="K29" i="4"/>
  <c r="B20" i="4"/>
  <c r="B35" i="4" s="1"/>
  <c r="J19" i="4"/>
  <c r="G19" i="4" s="1"/>
  <c r="J31" i="4"/>
  <c r="G31" i="4" s="1"/>
  <c r="H31" i="4" s="1"/>
  <c r="K31" i="4" s="1"/>
  <c r="D20" i="4"/>
  <c r="E80" i="4" s="1"/>
  <c r="I27" i="4"/>
  <c r="J27" i="4"/>
  <c r="J38" i="4"/>
  <c r="G38" i="4"/>
  <c r="H38" i="4" s="1"/>
  <c r="K38" i="4" s="1"/>
  <c r="J29" i="4"/>
  <c r="I29" i="4"/>
  <c r="H15" i="4"/>
  <c r="K15" i="4" s="1"/>
  <c r="I19" i="4"/>
  <c r="F20" i="4"/>
  <c r="G80" i="4" s="1"/>
  <c r="J16" i="4"/>
  <c r="G16" i="4" s="1"/>
  <c r="H16" i="4" s="1"/>
  <c r="K16" i="4" s="1"/>
  <c r="H19" i="4" l="1"/>
  <c r="H20" i="4" s="1"/>
  <c r="K20" i="4" s="1"/>
  <c r="G76" i="4"/>
  <c r="I20" i="4"/>
  <c r="D35" i="4"/>
  <c r="D41" i="4" s="1"/>
  <c r="D62" i="4" s="1"/>
  <c r="D63" i="4" s="1"/>
  <c r="E60" i="4" s="1"/>
  <c r="J20" i="4"/>
  <c r="J24" i="4"/>
  <c r="I24" i="4"/>
  <c r="I25" i="4"/>
  <c r="E33" i="4"/>
  <c r="E35" i="4" s="1"/>
  <c r="E41" i="4" s="1"/>
  <c r="G20" i="4"/>
  <c r="H80" i="4" s="1"/>
  <c r="J25" i="4"/>
  <c r="J23" i="4"/>
  <c r="I23" i="4"/>
  <c r="F33" i="4"/>
  <c r="F72" i="4" l="1"/>
  <c r="E62" i="4"/>
  <c r="E63" i="4" s="1"/>
  <c r="F60" i="4" s="1"/>
  <c r="K19" i="4"/>
  <c r="H76" i="4"/>
  <c r="E72" i="4"/>
  <c r="E73" i="4" s="1"/>
  <c r="E78" i="4" s="1"/>
  <c r="I33" i="4"/>
  <c r="J33" i="4"/>
  <c r="F35" i="4"/>
  <c r="F41" i="4" s="1"/>
  <c r="H33" i="4"/>
  <c r="H35" i="4" s="1"/>
  <c r="H41" i="4" s="1"/>
  <c r="H62" i="4" s="1"/>
  <c r="G33" i="4"/>
  <c r="G35" i="4" s="1"/>
  <c r="G41" i="4" s="1"/>
  <c r="H72" i="4" l="1"/>
  <c r="G62" i="4"/>
  <c r="G72" i="4"/>
  <c r="F62" i="4"/>
  <c r="F63" i="4" s="1"/>
  <c r="G60" i="4" s="1"/>
  <c r="G63" i="4" s="1"/>
  <c r="H60" i="4" s="1"/>
  <c r="H63" i="4" s="1"/>
  <c r="F73" i="4"/>
  <c r="F78" i="4" s="1"/>
  <c r="G73" i="4" s="1"/>
  <c r="G78" i="4" s="1"/>
  <c r="H73" i="4" s="1"/>
  <c r="H78" i="4" s="1"/>
  <c r="K33" i="4"/>
</calcChain>
</file>

<file path=xl/sharedStrings.xml><?xml version="1.0" encoding="utf-8"?>
<sst xmlns="http://schemas.openxmlformats.org/spreadsheetml/2006/main" count="650" uniqueCount="101">
  <si>
    <t>FY25 Projected</t>
  </si>
  <si>
    <t>FY26 Projected</t>
  </si>
  <si>
    <t>FY27 Projected</t>
  </si>
  <si>
    <t>Tax Levy</t>
  </si>
  <si>
    <t>State Aid</t>
  </si>
  <si>
    <t>Total Expense</t>
  </si>
  <si>
    <t>Free Cash Analysis</t>
  </si>
  <si>
    <t>Total Municipal</t>
  </si>
  <si>
    <t>Total Avalable Revenue</t>
  </si>
  <si>
    <t>24-'27 CAGR</t>
  </si>
  <si>
    <t>Notes</t>
  </si>
  <si>
    <t>'25-'27 CAGR</t>
  </si>
  <si>
    <t>'24-'27 CAGR</t>
  </si>
  <si>
    <t>Total Facilities</t>
  </si>
  <si>
    <t>Total Benefits</t>
  </si>
  <si>
    <t>Total Other Shared Expenses</t>
  </si>
  <si>
    <t>Total Capital Related Expenses</t>
  </si>
  <si>
    <t>Net Budget Surplus/(Deficit)</t>
  </si>
  <si>
    <t>Net Budget Surplus/(Deficit) with Override</t>
  </si>
  <si>
    <t>Annual Total Free Cash Use (assuming higher replenishment)</t>
  </si>
  <si>
    <t>Key Revenue and Cost Assumptions</t>
  </si>
  <si>
    <t>Note: Yellow cells, including cells in Key Assumptions and within the model, can be adjusted.</t>
  </si>
  <si>
    <t>Key Free Cash Assumptions</t>
  </si>
  <si>
    <t>FC Reserve as % of annual rev. (based upon policy)</t>
  </si>
  <si>
    <t>FY24 Estimated</t>
  </si>
  <si>
    <t>Additional Free Cash / Reserve usage</t>
  </si>
  <si>
    <t>Use of Free Cash / Reserves</t>
  </si>
  <si>
    <t>Other Revenue Sources</t>
  </si>
  <si>
    <t>Use of Free Cash for OPEB</t>
  </si>
  <si>
    <t>Note: Tan cells are derived based upon assumptions, but should not be directly modified.</t>
  </si>
  <si>
    <t>FY28 Projected</t>
  </si>
  <si>
    <t>Approach to Closing Deficit ($M)</t>
  </si>
  <si>
    <t>In FY25 this could include previously identified capital projects</t>
  </si>
  <si>
    <t>Free Cash Utilized in Budget (one-time)</t>
  </si>
  <si>
    <t>FY Ending Free Cash Amount</t>
  </si>
  <si>
    <t>Free Cash Utilized in Budget (recurring)</t>
  </si>
  <si>
    <t>Free Cash Utilized in Budget for OPEB (recurring)</t>
  </si>
  <si>
    <t>Expected Annual Turnbacks and Free Cash Replenishment</t>
  </si>
  <si>
    <t>Schools Salaries</t>
  </si>
  <si>
    <t>Schools Non-Salary Special Education</t>
  </si>
  <si>
    <t>Schools Operating Expenses (non-OOD)</t>
  </si>
  <si>
    <t>Includes only replenishment of SPED Reserve (not Circuit Breaker replenishment)</t>
  </si>
  <si>
    <t>Expense Budget ($M)</t>
  </si>
  <si>
    <t>Revenue Budget ($M) based on Budget Summit I Estimates</t>
  </si>
  <si>
    <t>Schools SPED Reserves Replenishment</t>
  </si>
  <si>
    <t>FY23 
Actual</t>
  </si>
  <si>
    <t>FY24-FY27 from Budget Summit I estimates; FY28 estimated based upon '25-'27 CAGR</t>
  </si>
  <si>
    <t xml:space="preserve">Revised from Budget Summit I estimates per Jennifer Hewitt </t>
  </si>
  <si>
    <t>Per request of Comprehensive Capital Budget Committee</t>
  </si>
  <si>
    <t>Override Increase to Tax Levy</t>
  </si>
  <si>
    <t>Assumed compounding annual increase of 2.5%</t>
  </si>
  <si>
    <t>Select Board and Warrant Committee recently agreed to plan for recurring $3 M of annual FC utilization in budget</t>
  </si>
  <si>
    <t>Free Cash Analysis Usage Estimation</t>
  </si>
  <si>
    <t>Required FC Reserve as % of Annual Rev. (based upon policy)</t>
  </si>
  <si>
    <t>Cells appear in red when FC level is below policy target</t>
  </si>
  <si>
    <t>Free Cash held in reserve in FY25 based upon policy</t>
  </si>
  <si>
    <t>Cells highlighted in red when deficit. To fix, adjust override, investment amounts, or other assumptions.</t>
  </si>
  <si>
    <t>Certified Free Cash amount (Nov. 2023)</t>
  </si>
  <si>
    <t>Free Cash Utilized for One-time Projects (e.g. capital)</t>
  </si>
  <si>
    <t>Note: Red cells highlight situations that need attention.</t>
  </si>
  <si>
    <t>School Salaries Expense CAGR '25-'27 (if using GROWTH)</t>
  </si>
  <si>
    <t xml:space="preserve">Note: Uncertainty regarding expense estimates compounds and is greatest in later years </t>
  </si>
  <si>
    <t>Annual recurring FC usage. Note: $3 M when combined with OPEB contribution</t>
  </si>
  <si>
    <t>FY29 Projected</t>
  </si>
  <si>
    <t>Additional Discretionary/Sidewalks Capital</t>
  </si>
  <si>
    <t>FY26</t>
  </si>
  <si>
    <t>FY27</t>
  </si>
  <si>
    <t>FY28</t>
  </si>
  <si>
    <t>FY29</t>
  </si>
  <si>
    <t>'27-'29 CAGR</t>
  </si>
  <si>
    <t>Total Municipal Expense CAGR '25-'27</t>
  </si>
  <si>
    <t>Total Benefits Expense CAGR '25-'27</t>
  </si>
  <si>
    <t>School Salaries Expense CAGR '25-'27</t>
  </si>
  <si>
    <t>Schools Non-Salary SPED Expense CAGR '25-'27</t>
  </si>
  <si>
    <t>Schools Operating Expense CAGR '25-'27</t>
  </si>
  <si>
    <t>Tax Levy Growth Rates</t>
  </si>
  <si>
    <t>State Aid Growth Rates</t>
  </si>
  <si>
    <t>Other Revenue Sources Growth Rates</t>
  </si>
  <si>
    <t>School Salaries Expense Growth Rates</t>
  </si>
  <si>
    <t>Schools Non-Salary SPED Expense Growth Rates</t>
  </si>
  <si>
    <t>Schools Operating Expense Growth Rates</t>
  </si>
  <si>
    <t>Total Municipal Expense Growth Rates</t>
  </si>
  <si>
    <t>Total Benefits Expense Growth Rates</t>
  </si>
  <si>
    <t>FY25 uses SC "Level Services" budget</t>
  </si>
  <si>
    <t>FY25-FY29 uses SC "Override" budget</t>
  </si>
  <si>
    <t>Certified in Novebmer of prior year. FY25 certified on 11/7/23</t>
  </si>
  <si>
    <t>FY Starting Free Cash Amount</t>
  </si>
  <si>
    <t>Turnbacks from prior FY and Free Cash Replenishment</t>
  </si>
  <si>
    <t>Excess Free Cash due to Override Surplus (or Deficit) in prior FY</t>
  </si>
  <si>
    <t>Free Cash Allocated to Capital in FY25-FY29</t>
  </si>
  <si>
    <t>Override Mitigation Fund</t>
  </si>
  <si>
    <t>Initial Contribution to Override Mitigation Fund</t>
  </si>
  <si>
    <t>Balance of Override Mitigation Fund</t>
  </si>
  <si>
    <t>FY Override Mitigation Fund Beginning Balance</t>
  </si>
  <si>
    <t>Free Cash Available for Override Mitigation Fund</t>
  </si>
  <si>
    <t>Cells appear in red when Override Mitigation Fund has been exhausted</t>
  </si>
  <si>
    <t>Override and Free Cash Utilization Model - ”Level Services” + Historical Growth Rate Scenario</t>
  </si>
  <si>
    <t>Override and Free Cash Utilization Model - Override Scenario</t>
  </si>
  <si>
    <t>Override and Free Cash Utilization Model - ”Level Services” + Moderated Growth Rate Scenario</t>
  </si>
  <si>
    <t>Override and Free Cash Utilization Model - ”Level Services” + Moderated Growth Rate + Rev Growth Scenario</t>
  </si>
  <si>
    <t>Override and Free Cash Utilization Model - Override + Moderated Growth Rate + Rev Growth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</si>
</sst>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.000_);_(* \(#,##0.000\);_(* &quot;-&quot;??_);_(@_)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rgb="FF7030A0"/>
      <name val="Calibri"/>
      <family val="2"/>
      <scheme val="minor"/>
    </font>
    <font>
      <sz val="12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1" fillId="0" borderId="1" xfId="0" applyFont="1" applyBorder="1"/>
    <xf numFmtId="43" fontId="0" fillId="0" borderId="0" xfId="1" applyFont="1" applyFill="1"/>
    <xf numFmtId="43" fontId="4" fillId="0" borderId="0" xfId="1" applyFont="1" applyFill="1"/>
    <xf numFmtId="43" fontId="0" fillId="0" borderId="1" xfId="1" applyFont="1" applyFill="1" applyBorder="1"/>
    <xf numFmtId="43" fontId="0" fillId="0" borderId="0" xfId="1" applyFont="1" applyFill="1" applyBorder="1"/>
    <xf numFmtId="43" fontId="0" fillId="0" borderId="0" xfId="1" applyFont="1"/>
    <xf numFmtId="43" fontId="2" fillId="0" borderId="0" xfId="1" applyFont="1"/>
    <xf numFmtId="43" fontId="0" fillId="4" borderId="0" xfId="1" applyFont="1" applyFill="1"/>
    <xf numFmtId="164" fontId="0" fillId="0" borderId="0" xfId="1" applyNumberFormat="1" applyFont="1" applyFill="1"/>
    <xf numFmtId="16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/>
    <xf numFmtId="164" fontId="2" fillId="0" borderId="0" xfId="1" applyNumberFormat="1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2" xfId="0" applyFont="1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5" fillId="3" borderId="2" xfId="0" applyFont="1" applyFill="1" applyBorder="1"/>
    <xf numFmtId="0" fontId="1" fillId="3" borderId="2" xfId="0" applyFont="1" applyFill="1" applyBorder="1" applyAlignment="1">
      <alignment horizontal="center" wrapText="1"/>
    </xf>
    <xf numFmtId="0" fontId="1" fillId="3" borderId="2" xfId="0" quotePrefix="1" applyFont="1" applyFill="1" applyBorder="1" applyAlignment="1">
      <alignment horizontal="center" wrapText="1"/>
    </xf>
    <xf numFmtId="0" fontId="1" fillId="3" borderId="2" xfId="0" quotePrefix="1" applyFont="1" applyFill="1" applyBorder="1" applyAlignment="1">
      <alignment horizontal="left" wrapText="1"/>
    </xf>
    <xf numFmtId="43" fontId="1" fillId="3" borderId="2" xfId="1" applyFont="1" applyFill="1" applyBorder="1" applyAlignment="1">
      <alignment horizontal="center" wrapText="1"/>
    </xf>
    <xf numFmtId="164" fontId="1" fillId="3" borderId="2" xfId="1" quotePrefix="1" applyNumberFormat="1" applyFont="1" applyFill="1" applyBorder="1" applyAlignment="1">
      <alignment horizontal="center" wrapText="1"/>
    </xf>
    <xf numFmtId="0" fontId="1" fillId="3" borderId="1" xfId="0" quotePrefix="1" applyFont="1" applyFill="1" applyBorder="1" applyAlignment="1">
      <alignment horizontal="left" wrapText="1"/>
    </xf>
    <xf numFmtId="2" fontId="0" fillId="0" borderId="8" xfId="0" applyNumberFormat="1" applyBorder="1"/>
    <xf numFmtId="43" fontId="4" fillId="2" borderId="0" xfId="1" applyFont="1" applyFill="1"/>
    <xf numFmtId="43" fontId="0" fillId="2" borderId="0" xfId="1" applyFont="1" applyFill="1"/>
    <xf numFmtId="0" fontId="6" fillId="0" borderId="0" xfId="0" applyFont="1" applyAlignment="1">
      <alignment vertical="top"/>
    </xf>
    <xf numFmtId="43" fontId="5" fillId="0" borderId="2" xfId="1" applyFont="1" applyFill="1" applyBorder="1"/>
    <xf numFmtId="164" fontId="5" fillId="0" borderId="2" xfId="1" applyNumberFormat="1" applyFont="1" applyFill="1" applyBorder="1"/>
    <xf numFmtId="43" fontId="5" fillId="0" borderId="2" xfId="1" applyFont="1" applyBorder="1"/>
    <xf numFmtId="164" fontId="5" fillId="0" borderId="2" xfId="1" applyNumberFormat="1" applyFont="1" applyBorder="1"/>
    <xf numFmtId="2" fontId="0" fillId="0" borderId="1" xfId="0" applyNumberFormat="1" applyBorder="1"/>
    <xf numFmtId="0" fontId="9" fillId="0" borderId="0" xfId="0" applyFont="1"/>
    <xf numFmtId="43" fontId="9" fillId="0" borderId="0" xfId="0" applyNumberFormat="1" applyFont="1"/>
    <xf numFmtId="0" fontId="10" fillId="0" borderId="2" xfId="0" applyFont="1" applyBorder="1" applyAlignment="1">
      <alignment vertical="center"/>
    </xf>
    <xf numFmtId="0" fontId="5" fillId="3" borderId="3" xfId="0" applyFont="1" applyFill="1" applyBorder="1"/>
    <xf numFmtId="0" fontId="0" fillId="3" borderId="4" xfId="0" applyFill="1" applyBorder="1"/>
    <xf numFmtId="0" fontId="11" fillId="0" borderId="0" xfId="0" applyFont="1"/>
    <xf numFmtId="10" fontId="0" fillId="2" borderId="6" xfId="0" applyNumberFormat="1" applyFill="1" applyBorder="1"/>
    <xf numFmtId="164" fontId="0" fillId="0" borderId="0" xfId="2" applyNumberFormat="1" applyFont="1" applyFill="1" applyBorder="1"/>
    <xf numFmtId="0" fontId="12" fillId="0" borderId="0" xfId="0" applyFont="1" applyAlignment="1">
      <alignment vertical="center"/>
    </xf>
    <xf numFmtId="0" fontId="5" fillId="0" borderId="0" xfId="0" applyFont="1"/>
    <xf numFmtId="43" fontId="5" fillId="0" borderId="0" xfId="1" applyFont="1" applyBorder="1"/>
    <xf numFmtId="164" fontId="5" fillId="0" borderId="0" xfId="1" applyNumberFormat="1" applyFont="1" applyBorder="1"/>
    <xf numFmtId="0" fontId="10" fillId="0" borderId="0" xfId="0" applyFont="1" applyAlignment="1">
      <alignment vertical="center"/>
    </xf>
    <xf numFmtId="165" fontId="5" fillId="0" borderId="0" xfId="1" applyNumberFormat="1" applyFont="1" applyBorder="1"/>
    <xf numFmtId="0" fontId="5" fillId="3" borderId="10" xfId="0" applyFont="1" applyFill="1" applyBorder="1"/>
    <xf numFmtId="0" fontId="0" fillId="3" borderId="11" xfId="0" applyFill="1" applyBorder="1"/>
    <xf numFmtId="43" fontId="0" fillId="4" borderId="0" xfId="1" applyFont="1" applyFill="1" applyBorder="1"/>
    <xf numFmtId="0" fontId="0" fillId="0" borderId="2" xfId="0" applyBorder="1"/>
    <xf numFmtId="0" fontId="13" fillId="0" borderId="2" xfId="0" applyFont="1" applyBorder="1"/>
    <xf numFmtId="43" fontId="5" fillId="0" borderId="2" xfId="0" applyNumberFormat="1" applyFont="1" applyBorder="1"/>
    <xf numFmtId="43" fontId="7" fillId="0" borderId="0" xfId="1" applyFont="1" applyFill="1"/>
    <xf numFmtId="0" fontId="1" fillId="3" borderId="4" xfId="0" applyFont="1" applyFill="1" applyBorder="1" applyAlignment="1">
      <alignment horizontal="center"/>
    </xf>
    <xf numFmtId="10" fontId="0" fillId="2" borderId="0" xfId="0" applyNumberFormat="1" applyFill="1"/>
    <xf numFmtId="0" fontId="1" fillId="3" borderId="1" xfId="0" applyFont="1" applyFill="1" applyBorder="1" applyAlignment="1">
      <alignment horizontal="center"/>
    </xf>
    <xf numFmtId="2" fontId="0" fillId="2" borderId="8" xfId="0" applyNumberFormat="1" applyFill="1" applyBorder="1"/>
    <xf numFmtId="10" fontId="0" fillId="2" borderId="1" xfId="0" applyNumberFormat="1" applyFill="1" applyBorder="1"/>
    <xf numFmtId="10" fontId="0" fillId="2" borderId="4" xfId="0" applyNumberForma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" xfId="0" applyFill="1" applyBorder="1"/>
    <xf numFmtId="0" fontId="12" fillId="3" borderId="1" xfId="0" applyFont="1" applyFill="1" applyBorder="1" applyAlignment="1">
      <alignment vertical="center"/>
    </xf>
    <xf numFmtId="0" fontId="0" fillId="3" borderId="0" xfId="0" applyFill="1"/>
    <xf numFmtId="0" fontId="12" fillId="3" borderId="0" xfId="0" applyFont="1" applyFill="1" applyAlignment="1">
      <alignment vertical="center"/>
    </xf>
    <xf numFmtId="164" fontId="0" fillId="0" borderId="8" xfId="1" applyNumberFormat="1" applyFont="1" applyFill="1" applyBorder="1"/>
    <xf numFmtId="0" fontId="12" fillId="3" borderId="8" xfId="0" applyFont="1" applyFill="1" applyBorder="1" applyAlignment="1">
      <alignment vertical="center"/>
    </xf>
    <xf numFmtId="10" fontId="0" fillId="2" borderId="8" xfId="0" applyNumberFormat="1" applyFill="1" applyBorder="1"/>
    <xf numFmtId="10" fontId="0" fillId="2" borderId="9" xfId="0" applyNumberFormat="1" applyFill="1" applyBorder="1"/>
    <xf numFmtId="0" fontId="0" fillId="0" borderId="10" xfId="0" applyBorder="1"/>
    <xf numFmtId="2" fontId="0" fillId="2" borderId="2" xfId="0" applyNumberFormat="1" applyFill="1" applyBorder="1"/>
    <xf numFmtId="0" fontId="0" fillId="3" borderId="2" xfId="0" applyFill="1" applyBorder="1"/>
    <xf numFmtId="2" fontId="0" fillId="2" borderId="11" xfId="0" applyNumberFormat="1" applyFill="1" applyBorder="1"/>
    <xf numFmtId="165" fontId="0" fillId="0" borderId="0" xfId="1" applyNumberFormat="1" applyFont="1" applyFill="1"/>
    <xf numFmtId="43" fontId="0" fillId="0" borderId="0" xfId="0" applyNumberFormat="1"/>
    <xf numFmtId="164" fontId="0" fillId="0" borderId="0" xfId="0" applyNumberFormat="1"/>
    <xf numFmtId="164" fontId="0" fillId="2" borderId="0" xfId="2" applyNumberFormat="1" applyFont="1" applyFill="1" applyBorder="1"/>
    <xf numFmtId="2" fontId="0" fillId="2" borderId="0" xfId="0" applyNumberFormat="1" applyFill="1"/>
    <xf numFmtId="43" fontId="1" fillId="3" borderId="1" xfId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43" fontId="0" fillId="2" borderId="8" xfId="1" applyFont="1" applyFill="1" applyBorder="1"/>
    <xf numFmtId="43" fontId="0" fillId="2" borderId="9" xfId="1" applyFont="1" applyFill="1" applyBorder="1"/>
    <xf numFmtId="0" fontId="1" fillId="3" borderId="11" xfId="0" applyFont="1" applyFill="1" applyBorder="1" applyAlignment="1">
      <alignment horizontal="center" wrapText="1"/>
    </xf>
    <xf numFmtId="43" fontId="0" fillId="3" borderId="8" xfId="1" applyFont="1" applyFill="1" applyBorder="1"/>
    <xf numFmtId="0" fontId="0" fillId="3" borderId="6" xfId="0" applyFill="1" applyBorder="1"/>
    <xf numFmtId="2" fontId="0" fillId="2" borderId="1" xfId="0" applyNumberFormat="1" applyFill="1" applyBorder="1"/>
    <xf numFmtId="0" fontId="0" fillId="3" borderId="0" xfId="0" applyFill="1" applyBorder="1"/>
  </cellXfs>
  <cellStyles count="3">
    <cellStyle name="Comma" xfId="1" builtinId="3"/>
    <cellStyle name="Normal" xfId="0" builtinId="0"/>
    <cellStyle name="Percent" xfId="2" builtinId="5"/>
  </cellStyles>
  <dxfs count="1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3E83C-E6EF-E647-A88B-A6B922543799}">
  <sheetPr>
    <pageSetUpPr fitToPage="1"/>
  </sheetPr>
  <dimension ref="A1:L77"/>
  <sheetViews>
    <sheetView tabSelected="1" zoomScaleNormal="100" workbookViewId="0"/>
  </sheetViews>
  <sheetFormatPr defaultColWidth="11" defaultRowHeight="15.75" x14ac:dyDescent="0.25"/>
  <cols>
    <col min="1" max="1" width="51" customWidth="1"/>
    <col min="2" max="2" width="7.25" customWidth="1"/>
    <col min="3" max="8" width="10.625" customWidth="1"/>
    <col min="9" max="11" width="7.25" customWidth="1"/>
    <col min="12" max="12" width="52" customWidth="1"/>
  </cols>
  <sheetData>
    <row r="1" spans="1:12" s="1" customFormat="1" ht="18.75" x14ac:dyDescent="0.3">
      <c r="A1" s="44" t="s">
        <v>97</v>
      </c>
    </row>
    <row r="2" spans="1:12" ht="12.95" customHeight="1" x14ac:dyDescent="0.25">
      <c r="A2" s="33" t="s">
        <v>21</v>
      </c>
    </row>
    <row r="3" spans="1:12" ht="12.95" customHeight="1" x14ac:dyDescent="0.25">
      <c r="A3" s="33" t="s">
        <v>29</v>
      </c>
    </row>
    <row r="4" spans="1:12" ht="12.95" customHeight="1" x14ac:dyDescent="0.25">
      <c r="A4" s="33" t="s">
        <v>59</v>
      </c>
    </row>
    <row r="6" spans="1:12" x14ac:dyDescent="0.25">
      <c r="A6" s="53" t="s">
        <v>20</v>
      </c>
      <c r="B6" s="54"/>
    </row>
    <row r="7" spans="1:12" x14ac:dyDescent="0.25">
      <c r="A7" s="20" t="s">
        <v>70</v>
      </c>
      <c r="B7" s="45">
        <v>2.5000000000000001E-2</v>
      </c>
      <c r="C7" s="47"/>
    </row>
    <row r="8" spans="1:12" x14ac:dyDescent="0.25">
      <c r="A8" s="20" t="s">
        <v>71</v>
      </c>
      <c r="B8" s="45">
        <v>3.9E-2</v>
      </c>
      <c r="C8" s="47"/>
    </row>
    <row r="9" spans="1:12" x14ac:dyDescent="0.25">
      <c r="A9" s="76" t="s">
        <v>19</v>
      </c>
      <c r="B9" s="79">
        <v>3</v>
      </c>
      <c r="C9" s="16" t="s">
        <v>51</v>
      </c>
    </row>
    <row r="11" spans="1:12" ht="31.5" x14ac:dyDescent="0.25">
      <c r="A11" s="23" t="s">
        <v>43</v>
      </c>
      <c r="B11" s="24" t="s">
        <v>45</v>
      </c>
      <c r="C11" s="24" t="s">
        <v>24</v>
      </c>
      <c r="D11" s="24" t="s">
        <v>0</v>
      </c>
      <c r="E11" s="24" t="s">
        <v>1</v>
      </c>
      <c r="F11" s="24" t="s">
        <v>2</v>
      </c>
      <c r="G11" s="24" t="s">
        <v>30</v>
      </c>
      <c r="H11" s="24" t="s">
        <v>63</v>
      </c>
      <c r="I11" s="25" t="s">
        <v>12</v>
      </c>
      <c r="J11" s="25" t="s">
        <v>11</v>
      </c>
      <c r="K11" s="25" t="s">
        <v>69</v>
      </c>
      <c r="L11" s="26" t="s">
        <v>10</v>
      </c>
    </row>
    <row r="12" spans="1:12" x14ac:dyDescent="0.25">
      <c r="A12" s="1" t="s">
        <v>3</v>
      </c>
      <c r="B12" s="3">
        <v>102.786</v>
      </c>
      <c r="C12" s="3">
        <v>106.319</v>
      </c>
      <c r="D12" s="3">
        <v>109.837</v>
      </c>
      <c r="E12" s="3">
        <v>113.44199999999999</v>
      </c>
      <c r="F12" s="3">
        <v>117.13800000000001</v>
      </c>
      <c r="G12" s="3">
        <f>F12*(1+J12)</f>
        <v>120.9685223734562</v>
      </c>
      <c r="H12" s="3">
        <f>G12*(1+J12)</f>
        <v>124.9243064182193</v>
      </c>
      <c r="I12" s="10">
        <f t="shared" ref="I12:I17" si="0">RATE(3,,-C12,F12)</f>
        <v>3.283030847200185E-2</v>
      </c>
      <c r="J12" s="10">
        <f t="shared" ref="J12:J17" si="1">RATE(2,,-D12,F12)</f>
        <v>3.2700937129336367E-2</v>
      </c>
      <c r="K12" s="10">
        <f t="shared" ref="K12:K17" si="2">RATE(2,,-F12,H12)</f>
        <v>3.2700937131517289E-2</v>
      </c>
      <c r="L12" s="15" t="s">
        <v>46</v>
      </c>
    </row>
    <row r="13" spans="1:12" x14ac:dyDescent="0.25">
      <c r="A13" s="1" t="s">
        <v>4</v>
      </c>
      <c r="B13" s="3">
        <v>12.856999999999999</v>
      </c>
      <c r="C13" s="3">
        <v>14.608000000000001</v>
      </c>
      <c r="D13" s="3">
        <f>14.772</f>
        <v>14.772</v>
      </c>
      <c r="E13" s="3">
        <f>14.963</f>
        <v>14.962999999999999</v>
      </c>
      <c r="F13" s="3">
        <f>15.154</f>
        <v>15.154</v>
      </c>
      <c r="G13" s="3">
        <f t="shared" ref="G13:G16" si="3">F13*(1+J13)</f>
        <v>15.348688594010779</v>
      </c>
      <c r="H13" s="3">
        <f>G13*(1+J13)</f>
        <v>15.54587841862984</v>
      </c>
      <c r="I13" s="10">
        <f t="shared" si="0"/>
        <v>1.2306846811684168E-2</v>
      </c>
      <c r="J13" s="10">
        <f t="shared" si="1"/>
        <v>1.2847340240911843E-2</v>
      </c>
      <c r="K13" s="10">
        <f t="shared" si="2"/>
        <v>1.2847340240912022E-2</v>
      </c>
      <c r="L13" s="15" t="s">
        <v>46</v>
      </c>
    </row>
    <row r="14" spans="1:12" x14ac:dyDescent="0.25">
      <c r="A14" s="1" t="s">
        <v>27</v>
      </c>
      <c r="B14" s="3">
        <f>10.8+0.368+1.388-2.919</f>
        <v>9.6370000000000005</v>
      </c>
      <c r="C14" s="3">
        <v>7.976</v>
      </c>
      <c r="D14" s="3">
        <v>6.367</v>
      </c>
      <c r="E14" s="3">
        <v>6.3949999999999996</v>
      </c>
      <c r="F14" s="3">
        <v>6.431</v>
      </c>
      <c r="G14" s="3">
        <f t="shared" si="3"/>
        <v>6.463240841272639</v>
      </c>
      <c r="H14" s="3">
        <f>G14*(1+J14)</f>
        <v>6.4956433171038173</v>
      </c>
      <c r="I14" s="10">
        <f t="shared" si="0"/>
        <v>-6.9254122226428613E-2</v>
      </c>
      <c r="J14" s="10">
        <f t="shared" si="1"/>
        <v>5.0133480442604936E-3</v>
      </c>
      <c r="K14" s="10">
        <f t="shared" si="2"/>
        <v>5.0133480442603575E-3</v>
      </c>
      <c r="L14" s="15" t="s">
        <v>46</v>
      </c>
    </row>
    <row r="15" spans="1:12" x14ac:dyDescent="0.25">
      <c r="A15" s="1" t="s">
        <v>28</v>
      </c>
      <c r="B15" s="4">
        <v>0.55000000000000004</v>
      </c>
      <c r="C15" s="4">
        <v>0.55000000000000004</v>
      </c>
      <c r="D15" s="4">
        <v>0.55000000000000004</v>
      </c>
      <c r="E15" s="4">
        <v>0.55000000000000004</v>
      </c>
      <c r="F15" s="4">
        <v>0.55000000000000004</v>
      </c>
      <c r="G15" s="4">
        <v>0.55000000000000004</v>
      </c>
      <c r="H15" s="4">
        <v>0.55000000000000004</v>
      </c>
      <c r="I15" s="10">
        <f t="shared" si="0"/>
        <v>4.5713096385530498E-14</v>
      </c>
      <c r="J15" s="10">
        <f t="shared" si="1"/>
        <v>-3.8736184847597014E-17</v>
      </c>
      <c r="K15" s="10">
        <f t="shared" si="2"/>
        <v>-3.8736184847597014E-17</v>
      </c>
      <c r="L15" s="15" t="s">
        <v>46</v>
      </c>
    </row>
    <row r="16" spans="1:12" x14ac:dyDescent="0.25">
      <c r="A16" s="1" t="s">
        <v>26</v>
      </c>
      <c r="B16" s="3">
        <f>5.96-0.55</f>
        <v>5.41</v>
      </c>
      <c r="C16" s="3">
        <f>10.246-C15</f>
        <v>9.6959999999999997</v>
      </c>
      <c r="D16" s="3">
        <f>3-D15</f>
        <v>2.4500000000000002</v>
      </c>
      <c r="E16" s="3">
        <f>3-E15</f>
        <v>2.4500000000000002</v>
      </c>
      <c r="F16" s="3">
        <f>3-F15</f>
        <v>2.4500000000000002</v>
      </c>
      <c r="G16" s="3">
        <f t="shared" si="3"/>
        <v>2.4500000000000002</v>
      </c>
      <c r="H16" s="3">
        <f>G16*(1+J16)</f>
        <v>2.4500000000000002</v>
      </c>
      <c r="I16" s="10">
        <f t="shared" si="0"/>
        <v>-0.36779514619600151</v>
      </c>
      <c r="J16" s="10">
        <f t="shared" si="1"/>
        <v>8.2036374720236702E-17</v>
      </c>
      <c r="K16" s="72">
        <f t="shared" si="2"/>
        <v>8.2036374720236702E-17</v>
      </c>
      <c r="L16" s="16" t="s">
        <v>62</v>
      </c>
    </row>
    <row r="17" spans="1:12" x14ac:dyDescent="0.25">
      <c r="A17" s="2" t="s">
        <v>8</v>
      </c>
      <c r="B17" s="5">
        <f t="shared" ref="B17:G17" si="4">SUM(B12:B16)</f>
        <v>131.24</v>
      </c>
      <c r="C17" s="5">
        <f t="shared" si="4"/>
        <v>139.14900000000003</v>
      </c>
      <c r="D17" s="5">
        <f t="shared" si="4"/>
        <v>133.976</v>
      </c>
      <c r="E17" s="5">
        <f t="shared" si="4"/>
        <v>137.80000000000001</v>
      </c>
      <c r="F17" s="5">
        <f t="shared" si="4"/>
        <v>141.72300000000001</v>
      </c>
      <c r="G17" s="5">
        <f t="shared" si="4"/>
        <v>145.7804518087396</v>
      </c>
      <c r="H17" s="5">
        <f t="shared" ref="H17" si="5">SUM(H12:H16)</f>
        <v>149.96582815395297</v>
      </c>
      <c r="I17" s="11">
        <f t="shared" si="0"/>
        <v>6.1284179876947989E-3</v>
      </c>
      <c r="J17" s="11">
        <f t="shared" si="1"/>
        <v>2.85056097769886E-2</v>
      </c>
      <c r="K17" s="10">
        <f t="shared" si="2"/>
        <v>2.8669792286757746E-2</v>
      </c>
      <c r="L17" s="15"/>
    </row>
    <row r="18" spans="1:12" x14ac:dyDescent="0.25">
      <c r="A18" s="1"/>
      <c r="B18" s="6"/>
      <c r="C18" s="6"/>
      <c r="D18" s="6"/>
      <c r="E18" s="6"/>
      <c r="F18" s="6"/>
      <c r="G18" s="6"/>
      <c r="H18" s="6"/>
      <c r="I18" s="12"/>
      <c r="J18" s="12"/>
      <c r="K18" s="12"/>
    </row>
    <row r="19" spans="1:12" ht="31.5" x14ac:dyDescent="0.25">
      <c r="A19" s="23" t="s">
        <v>42</v>
      </c>
      <c r="B19" s="24" t="s">
        <v>45</v>
      </c>
      <c r="C19" s="24" t="s">
        <v>24</v>
      </c>
      <c r="D19" s="27" t="s">
        <v>0</v>
      </c>
      <c r="E19" s="27" t="s">
        <v>1</v>
      </c>
      <c r="F19" s="27" t="s">
        <v>2</v>
      </c>
      <c r="G19" s="24" t="s">
        <v>30</v>
      </c>
      <c r="H19" s="24" t="s">
        <v>63</v>
      </c>
      <c r="I19" s="28" t="s">
        <v>9</v>
      </c>
      <c r="J19" s="28" t="s">
        <v>11</v>
      </c>
      <c r="K19" s="25" t="s">
        <v>69</v>
      </c>
      <c r="L19" s="26" t="s">
        <v>10</v>
      </c>
    </row>
    <row r="20" spans="1:12" x14ac:dyDescent="0.25">
      <c r="A20" s="1" t="s">
        <v>38</v>
      </c>
      <c r="B20" s="3">
        <v>45.351999999999997</v>
      </c>
      <c r="C20" s="3">
        <v>48.195</v>
      </c>
      <c r="D20" s="31">
        <f>51.494+0.216</f>
        <v>51.71</v>
      </c>
      <c r="E20" s="31">
        <f>55.715+0.222+0.19</f>
        <v>56.127000000000002</v>
      </c>
      <c r="F20" s="31">
        <f>59.022+0.425+0.114</f>
        <v>59.560999999999993</v>
      </c>
      <c r="G20" s="31">
        <f>62.082+0.555</f>
        <v>62.637</v>
      </c>
      <c r="H20" s="31">
        <f>65.3+0.572</f>
        <v>65.872</v>
      </c>
      <c r="I20" s="10">
        <f t="shared" ref="I20:I30" si="6">RATE(3,,-C20,F20)</f>
        <v>7.3132461185913419E-2</v>
      </c>
      <c r="J20" s="10">
        <f t="shared" ref="J20:J30" si="7">RATE(2,,-D20,F20)</f>
        <v>7.3232267273276461E-2</v>
      </c>
      <c r="K20" s="10">
        <f>RATE(2,,-F20,H20)</f>
        <v>5.1645661365495116E-2</v>
      </c>
      <c r="L20" s="16" t="s">
        <v>84</v>
      </c>
    </row>
    <row r="21" spans="1:12" x14ac:dyDescent="0.25">
      <c r="A21" s="1" t="s">
        <v>39</v>
      </c>
      <c r="B21" s="3">
        <v>7.6669999999999998</v>
      </c>
      <c r="C21" s="3">
        <f>8.677343+1.812087+1.328967</f>
        <v>11.818397000000001</v>
      </c>
      <c r="D21" s="31">
        <f>9.284758+1.938933+1.421995</f>
        <v>12.645686000000001</v>
      </c>
      <c r="E21" s="31">
        <f>13.531</f>
        <v>13.531000000000001</v>
      </c>
      <c r="F21" s="31">
        <f>14.478</f>
        <v>14.478</v>
      </c>
      <c r="G21" s="31">
        <f>15.492</f>
        <v>15.492000000000001</v>
      </c>
      <c r="H21" s="31">
        <v>16.576000000000001</v>
      </c>
      <c r="I21" s="10">
        <f>RATE(3,,-C21,F21)</f>
        <v>6.9998903345757341E-2</v>
      </c>
      <c r="J21" s="10">
        <f>RATE(2,,-D21,F21)</f>
        <v>6.9998303827147418E-2</v>
      </c>
      <c r="K21" s="10">
        <f>RATE(2,,-F21,H21)</f>
        <v>7.0004447602540654E-2</v>
      </c>
      <c r="L21" s="16" t="s">
        <v>84</v>
      </c>
    </row>
    <row r="22" spans="1:12" x14ac:dyDescent="0.25">
      <c r="A22" s="1" t="s">
        <v>40</v>
      </c>
      <c r="B22" s="3">
        <v>2.8769999999999998</v>
      </c>
      <c r="C22" s="3">
        <f>2.599608+0.274205</f>
        <v>2.8738129999999997</v>
      </c>
      <c r="D22" s="31">
        <f>3.387+0.08</f>
        <v>3.4670000000000001</v>
      </c>
      <c r="E22" s="31">
        <f>3.407+0.2</f>
        <v>3.6070000000000002</v>
      </c>
      <c r="F22" s="31">
        <f>3.526+0.2</f>
        <v>3.726</v>
      </c>
      <c r="G22" s="31">
        <f>3.649+0.05</f>
        <v>3.6989999999999998</v>
      </c>
      <c r="H22" s="31">
        <f>3.829+0.05</f>
        <v>3.879</v>
      </c>
      <c r="I22" s="10">
        <f>RATE(3,,-C22,F22)</f>
        <v>9.0422443770199187E-2</v>
      </c>
      <c r="J22" s="10">
        <f>RATE(2,,-D22,F22)</f>
        <v>3.6679485353697153E-2</v>
      </c>
      <c r="K22" s="10">
        <f>RATE(2,,-F22,H22)</f>
        <v>2.0324851178470035E-2</v>
      </c>
      <c r="L22" s="16" t="s">
        <v>84</v>
      </c>
    </row>
    <row r="23" spans="1:12" x14ac:dyDescent="0.25">
      <c r="A23" s="1" t="s">
        <v>44</v>
      </c>
      <c r="B23" s="3">
        <v>0</v>
      </c>
      <c r="C23" s="3">
        <v>0.6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10"/>
      <c r="J23" s="10"/>
      <c r="K23" s="10"/>
      <c r="L23" s="16" t="s">
        <v>41</v>
      </c>
    </row>
    <row r="24" spans="1:12" x14ac:dyDescent="0.25">
      <c r="A24" s="1" t="s">
        <v>7</v>
      </c>
      <c r="B24" s="3">
        <v>32.473999999999997</v>
      </c>
      <c r="C24" s="3">
        <v>33.305</v>
      </c>
      <c r="D24" s="3">
        <v>33.375</v>
      </c>
      <c r="E24" s="9">
        <f>D24*(1+$B$7)</f>
        <v>34.209374999999994</v>
      </c>
      <c r="F24" s="9">
        <f>E24*(1+$B$7)</f>
        <v>35.064609374999989</v>
      </c>
      <c r="G24" s="9">
        <f t="shared" ref="G24:G28" si="8">F24*(1+J24)</f>
        <v>35.941224609374984</v>
      </c>
      <c r="H24" s="9">
        <f>G24*(1+J24)</f>
        <v>36.839755224609355</v>
      </c>
      <c r="I24" s="10">
        <f t="shared" si="6"/>
        <v>1.7309708338030697E-2</v>
      </c>
      <c r="J24" s="10">
        <f t="shared" si="7"/>
        <v>2.4999999999999932E-2</v>
      </c>
      <c r="K24" s="10">
        <f t="shared" ref="K24:K30" si="9">RATE(2,,-F24,H24)</f>
        <v>2.4999999999999922E-2</v>
      </c>
      <c r="L24" s="16"/>
    </row>
    <row r="25" spans="1:12" x14ac:dyDescent="0.25">
      <c r="A25" s="1" t="s">
        <v>13</v>
      </c>
      <c r="B25" s="3">
        <v>6.3209999999999997</v>
      </c>
      <c r="C25" s="3">
        <v>7.5190000000000001</v>
      </c>
      <c r="D25" s="3">
        <v>7.5750000000000002</v>
      </c>
      <c r="E25" s="3">
        <v>7.7450000000000001</v>
      </c>
      <c r="F25" s="3">
        <v>7.9180000000000001</v>
      </c>
      <c r="G25" s="3">
        <f t="shared" si="8"/>
        <v>8.0952809839340887</v>
      </c>
      <c r="H25" s="3">
        <f>G25*(1+J25)</f>
        <v>8.2765312211221111</v>
      </c>
      <c r="I25" s="10">
        <f t="shared" si="6"/>
        <v>1.738454854762286E-2</v>
      </c>
      <c r="J25" s="10">
        <f t="shared" si="7"/>
        <v>2.2389616561516768E-2</v>
      </c>
      <c r="K25" s="10">
        <f t="shared" si="9"/>
        <v>2.2389616561516657E-2</v>
      </c>
      <c r="L25" s="16" t="s">
        <v>47</v>
      </c>
    </row>
    <row r="26" spans="1:12" x14ac:dyDescent="0.25">
      <c r="A26" s="1" t="s">
        <v>14</v>
      </c>
      <c r="B26" s="3">
        <v>25.477</v>
      </c>
      <c r="C26" s="3">
        <v>26.213999999999999</v>
      </c>
      <c r="D26" s="3">
        <v>26.402000000000001</v>
      </c>
      <c r="E26" s="9">
        <f>D26*(1+$B$8)</f>
        <v>27.431677999999998</v>
      </c>
      <c r="F26" s="9">
        <f>E26*(1+$B$8)</f>
        <v>28.501513441999997</v>
      </c>
      <c r="G26" s="9">
        <f t="shared" si="8"/>
        <v>29.613072466266029</v>
      </c>
      <c r="H26" s="9">
        <f>G26*(1+J26)</f>
        <v>30.76798229247953</v>
      </c>
      <c r="I26" s="10">
        <f t="shared" si="6"/>
        <v>2.8280363131910055E-2</v>
      </c>
      <c r="J26" s="10">
        <f t="shared" si="7"/>
        <v>3.9000000000983658E-2</v>
      </c>
      <c r="K26" s="10">
        <f t="shared" si="9"/>
        <v>3.9000000001967246E-2</v>
      </c>
      <c r="L26" s="16"/>
    </row>
    <row r="27" spans="1:12" x14ac:dyDescent="0.25">
      <c r="A27" s="1" t="s">
        <v>15</v>
      </c>
      <c r="B27" s="3">
        <v>1.2490000000000001</v>
      </c>
      <c r="C27" s="3">
        <v>3.3740000000000001</v>
      </c>
      <c r="D27" s="3">
        <v>1.5609999999999999</v>
      </c>
      <c r="E27" s="3">
        <v>1.601</v>
      </c>
      <c r="F27" s="3">
        <v>1.6439999999999999</v>
      </c>
      <c r="G27" s="3">
        <f t="shared" si="8"/>
        <v>1.6871405677428037</v>
      </c>
      <c r="H27" s="3">
        <f>G27*(1+J27)</f>
        <v>1.731413196668802</v>
      </c>
      <c r="I27" s="10">
        <f t="shared" si="6"/>
        <v>-0.21310114812985417</v>
      </c>
      <c r="J27" s="10">
        <f t="shared" si="7"/>
        <v>2.6241221254747003E-2</v>
      </c>
      <c r="K27" s="10">
        <f t="shared" si="9"/>
        <v>2.6241221254746781E-2</v>
      </c>
      <c r="L27" s="15"/>
    </row>
    <row r="28" spans="1:12" x14ac:dyDescent="0.25">
      <c r="A28" s="1" t="s">
        <v>16</v>
      </c>
      <c r="B28" s="3">
        <v>5.0839999999999996</v>
      </c>
      <c r="C28" s="3">
        <v>5.2480000000000002</v>
      </c>
      <c r="D28" s="3">
        <f>5.842-0.5</f>
        <v>5.3419999999999996</v>
      </c>
      <c r="E28" s="3">
        <f>5.957-0.5</f>
        <v>5.4569999999999999</v>
      </c>
      <c r="F28" s="3">
        <f>6.08-0.5</f>
        <v>5.58</v>
      </c>
      <c r="G28" s="3">
        <f t="shared" si="8"/>
        <v>5.7029472764167242</v>
      </c>
      <c r="H28" s="3">
        <f>G28*(1+J28)</f>
        <v>5.8286035192811703</v>
      </c>
      <c r="I28" s="10">
        <f t="shared" si="6"/>
        <v>2.065771853799413E-2</v>
      </c>
      <c r="J28" s="10">
        <f t="shared" si="7"/>
        <v>2.2033562081850054E-2</v>
      </c>
      <c r="K28" s="10">
        <f t="shared" si="9"/>
        <v>2.2033562081850297E-2</v>
      </c>
      <c r="L28" s="15"/>
    </row>
    <row r="29" spans="1:12" x14ac:dyDescent="0.25">
      <c r="A29" s="1" t="s">
        <v>64</v>
      </c>
      <c r="B29" s="3"/>
      <c r="C29" s="3"/>
      <c r="D29" s="32">
        <v>0.5</v>
      </c>
      <c r="E29" s="32">
        <v>0.5</v>
      </c>
      <c r="F29" s="32">
        <v>0.5</v>
      </c>
      <c r="G29" s="32">
        <v>0.5</v>
      </c>
      <c r="H29" s="32">
        <v>0.5</v>
      </c>
      <c r="I29" s="72"/>
      <c r="J29" s="10">
        <f t="shared" si="7"/>
        <v>7.7404550817594379E-17</v>
      </c>
      <c r="K29" s="72">
        <f t="shared" si="9"/>
        <v>7.7404550817594379E-17</v>
      </c>
      <c r="L29" s="16" t="s">
        <v>48</v>
      </c>
    </row>
    <row r="30" spans="1:12" x14ac:dyDescent="0.25">
      <c r="A30" s="2" t="s">
        <v>5</v>
      </c>
      <c r="B30" s="5">
        <f t="shared" ref="B30:H30" si="10">SUM(B20:B29)</f>
        <v>126.501</v>
      </c>
      <c r="C30" s="5">
        <f t="shared" si="10"/>
        <v>139.14721</v>
      </c>
      <c r="D30" s="5">
        <f t="shared" si="10"/>
        <v>142.57768600000003</v>
      </c>
      <c r="E30" s="5">
        <f t="shared" si="10"/>
        <v>150.20905299999998</v>
      </c>
      <c r="F30" s="5">
        <f t="shared" si="10"/>
        <v>156.97312281699999</v>
      </c>
      <c r="G30" s="5">
        <f t="shared" si="10"/>
        <v>163.36766590373463</v>
      </c>
      <c r="H30" s="5">
        <f t="shared" si="10"/>
        <v>170.27128545416096</v>
      </c>
      <c r="I30" s="12">
        <f t="shared" si="6"/>
        <v>4.0998886852659046E-2</v>
      </c>
      <c r="J30" s="11">
        <f t="shared" si="7"/>
        <v>4.9269062899714465E-2</v>
      </c>
      <c r="K30" s="10">
        <f t="shared" si="9"/>
        <v>4.1497083818384108E-2</v>
      </c>
      <c r="L30" s="16" t="s">
        <v>61</v>
      </c>
    </row>
    <row r="31" spans="1:12" x14ac:dyDescent="0.25">
      <c r="A31" s="1"/>
      <c r="B31" s="59"/>
      <c r="C31" s="3"/>
      <c r="D31" s="3"/>
      <c r="E31" s="3"/>
      <c r="F31" s="3"/>
      <c r="G31" s="3"/>
      <c r="H31" s="3"/>
      <c r="I31" s="12"/>
      <c r="J31" s="10"/>
      <c r="K31" s="10"/>
    </row>
    <row r="32" spans="1:12" x14ac:dyDescent="0.25">
      <c r="A32" s="17" t="s">
        <v>17</v>
      </c>
      <c r="B32" s="34">
        <f t="shared" ref="B32:H32" si="11">B17-B30</f>
        <v>4.7390000000000043</v>
      </c>
      <c r="C32" s="34">
        <f t="shared" si="11"/>
        <v>1.790000000028158E-3</v>
      </c>
      <c r="D32" s="34">
        <f t="shared" si="11"/>
        <v>-8.6016860000000293</v>
      </c>
      <c r="E32" s="34">
        <f t="shared" si="11"/>
        <v>-12.409052999999972</v>
      </c>
      <c r="F32" s="34">
        <f t="shared" si="11"/>
        <v>-15.250122816999976</v>
      </c>
      <c r="G32" s="34">
        <f t="shared" si="11"/>
        <v>-17.587214094995034</v>
      </c>
      <c r="H32" s="34">
        <f t="shared" si="11"/>
        <v>-20.305457300207991</v>
      </c>
      <c r="I32" s="35"/>
      <c r="J32" s="35"/>
      <c r="K32" s="35"/>
      <c r="L32" s="17"/>
    </row>
    <row r="33" spans="1:12" x14ac:dyDescent="0.25">
      <c r="A33" s="1"/>
      <c r="B33" s="7"/>
      <c r="C33" s="7"/>
      <c r="D33" s="7"/>
      <c r="E33" s="7"/>
      <c r="F33" s="7"/>
      <c r="G33" s="7"/>
      <c r="H33" s="7"/>
      <c r="I33" s="13"/>
      <c r="J33" s="13"/>
      <c r="K33" s="13"/>
    </row>
    <row r="34" spans="1:12" ht="31.5" x14ac:dyDescent="0.25">
      <c r="A34" s="23" t="s">
        <v>31</v>
      </c>
      <c r="B34" s="27"/>
      <c r="C34" s="27"/>
      <c r="D34" s="27" t="s">
        <v>0</v>
      </c>
      <c r="E34" s="27" t="s">
        <v>1</v>
      </c>
      <c r="F34" s="27" t="s">
        <v>2</v>
      </c>
      <c r="G34" s="24" t="s">
        <v>30</v>
      </c>
      <c r="H34" s="24" t="s">
        <v>63</v>
      </c>
      <c r="I34" s="28"/>
      <c r="J34" s="28" t="s">
        <v>11</v>
      </c>
      <c r="K34" s="25" t="s">
        <v>69</v>
      </c>
      <c r="L34" s="26" t="s">
        <v>10</v>
      </c>
    </row>
    <row r="35" spans="1:12" x14ac:dyDescent="0.25">
      <c r="A35" s="1" t="s">
        <v>49</v>
      </c>
      <c r="B35" s="8"/>
      <c r="C35" s="8"/>
      <c r="D35" s="31">
        <v>10.8</v>
      </c>
      <c r="E35" s="4">
        <f>D35*1.025</f>
        <v>11.07</v>
      </c>
      <c r="F35" s="4">
        <f>E35*1.025</f>
        <v>11.34675</v>
      </c>
      <c r="G35" s="4">
        <f>F35*1.025</f>
        <v>11.630418749999999</v>
      </c>
      <c r="H35" s="4">
        <f>G35*1.025</f>
        <v>11.921179218749998</v>
      </c>
      <c r="I35" s="14"/>
      <c r="J35" s="10">
        <f t="shared" ref="J35" si="12">RATE(2,,-D35,F35)</f>
        <v>2.4999999999999942E-2</v>
      </c>
      <c r="K35" s="10">
        <f>RATE(2,,-F35,H35)</f>
        <v>2.5000000000000043E-2</v>
      </c>
      <c r="L35" s="16" t="s">
        <v>50</v>
      </c>
    </row>
    <row r="36" spans="1:12" x14ac:dyDescent="0.25">
      <c r="A36" s="1" t="s">
        <v>25</v>
      </c>
      <c r="B36" s="8"/>
      <c r="C36" s="8"/>
      <c r="D36" s="31">
        <v>0</v>
      </c>
      <c r="E36" s="31">
        <v>1.35</v>
      </c>
      <c r="F36" s="31">
        <v>3.91</v>
      </c>
      <c r="G36" s="31">
        <v>0</v>
      </c>
      <c r="H36" s="31">
        <v>0</v>
      </c>
      <c r="I36" s="14"/>
      <c r="J36" s="10"/>
      <c r="K36" s="10"/>
      <c r="L36" s="16" t="str">
        <f>_xlfn.CONCAT("Total Additional FC usage = $",SUM(D36:G36), "M")</f>
        <v>Total Additional FC usage = $5.26M</v>
      </c>
    </row>
    <row r="37" spans="1:12" x14ac:dyDescent="0.25">
      <c r="A37" s="1"/>
      <c r="B37" s="8"/>
      <c r="C37" s="8"/>
      <c r="D37" s="4"/>
      <c r="E37" s="4"/>
      <c r="F37" s="4"/>
      <c r="G37" s="4"/>
      <c r="H37" s="4"/>
      <c r="I37" s="14"/>
      <c r="J37" s="14"/>
      <c r="K37" s="14"/>
    </row>
    <row r="38" spans="1:12" x14ac:dyDescent="0.25">
      <c r="A38" s="17" t="s">
        <v>18</v>
      </c>
      <c r="B38" s="36"/>
      <c r="C38" s="36"/>
      <c r="D38" s="36">
        <f>D32+SUM(D35:D36)</f>
        <v>2.1983139999999715</v>
      </c>
      <c r="E38" s="36">
        <f>E32+SUM(E35:E36)</f>
        <v>1.094700000002824E-2</v>
      </c>
      <c r="F38" s="36">
        <f>F32+SUM(F35:F36)</f>
        <v>6.6271830000239618E-3</v>
      </c>
      <c r="G38" s="36">
        <f>G32+SUM(G35:G36)</f>
        <v>-5.9567953449950348</v>
      </c>
      <c r="H38" s="36">
        <f>H32+SUM(H35:H36)</f>
        <v>-8.3842780814579925</v>
      </c>
      <c r="I38" s="37"/>
      <c r="J38" s="37"/>
      <c r="K38" s="37"/>
      <c r="L38" s="41" t="s">
        <v>56</v>
      </c>
    </row>
    <row r="39" spans="1:12" x14ac:dyDescent="0.25">
      <c r="A39" s="1"/>
      <c r="B39" s="7"/>
      <c r="C39" s="3"/>
      <c r="D39" s="3"/>
      <c r="E39" s="3"/>
      <c r="F39" s="3"/>
      <c r="G39" s="10"/>
      <c r="H39" s="10"/>
      <c r="I39" s="10"/>
    </row>
    <row r="40" spans="1:12" x14ac:dyDescent="0.25">
      <c r="A40" s="48"/>
      <c r="B40" s="49"/>
      <c r="C40" s="52"/>
      <c r="D40" s="49"/>
      <c r="E40" s="49"/>
      <c r="F40" s="49"/>
      <c r="G40" s="49"/>
      <c r="H40" s="49"/>
      <c r="I40" s="49"/>
      <c r="J40" s="51"/>
      <c r="K40" s="51"/>
    </row>
    <row r="41" spans="1:12" x14ac:dyDescent="0.25">
      <c r="A41" s="48"/>
      <c r="B41" s="49"/>
      <c r="C41" s="49"/>
      <c r="D41" s="49"/>
      <c r="E41" s="49"/>
      <c r="F41" s="49"/>
      <c r="G41" s="50"/>
      <c r="H41" s="50"/>
      <c r="I41" s="50"/>
      <c r="J41" s="51"/>
      <c r="K41" s="51"/>
    </row>
    <row r="43" spans="1:12" ht="31.5" x14ac:dyDescent="0.25">
      <c r="A43" s="53" t="s">
        <v>22</v>
      </c>
      <c r="B43" s="78"/>
      <c r="C43" s="27"/>
      <c r="D43" s="27" t="s">
        <v>0</v>
      </c>
      <c r="E43" s="27" t="s">
        <v>1</v>
      </c>
      <c r="F43" s="27" t="s">
        <v>2</v>
      </c>
      <c r="G43" s="24" t="s">
        <v>30</v>
      </c>
      <c r="H43" s="90" t="s">
        <v>63</v>
      </c>
    </row>
    <row r="44" spans="1:12" x14ac:dyDescent="0.25">
      <c r="A44" s="20" t="s">
        <v>37</v>
      </c>
      <c r="B44" s="84">
        <v>3</v>
      </c>
      <c r="C44" s="70"/>
      <c r="D44" s="70"/>
      <c r="E44" s="70"/>
      <c r="F44" s="70"/>
      <c r="G44" s="70"/>
      <c r="H44" s="92"/>
    </row>
    <row r="45" spans="1:12" x14ac:dyDescent="0.25">
      <c r="A45" s="20" t="s">
        <v>23</v>
      </c>
      <c r="B45" s="83">
        <v>0.03</v>
      </c>
      <c r="C45" s="70"/>
      <c r="D45" s="70"/>
      <c r="E45" s="70"/>
      <c r="F45" s="70"/>
      <c r="G45" s="70"/>
      <c r="H45" s="92"/>
    </row>
    <row r="46" spans="1:12" x14ac:dyDescent="0.25">
      <c r="A46" s="21" t="s">
        <v>58</v>
      </c>
      <c r="B46" s="66"/>
      <c r="C46" s="91"/>
      <c r="D46" s="88">
        <v>1.5</v>
      </c>
      <c r="E46" s="88">
        <v>0</v>
      </c>
      <c r="F46" s="88">
        <v>0</v>
      </c>
      <c r="G46" s="88">
        <v>0</v>
      </c>
      <c r="H46" s="89">
        <v>0</v>
      </c>
    </row>
    <row r="47" spans="1:12" x14ac:dyDescent="0.25">
      <c r="B47" s="46"/>
    </row>
    <row r="48" spans="1:12" x14ac:dyDescent="0.25">
      <c r="A48" s="42" t="s">
        <v>52</v>
      </c>
      <c r="B48" s="29"/>
    </row>
    <row r="49" spans="1:12" x14ac:dyDescent="0.25">
      <c r="A49" s="19" t="s">
        <v>57</v>
      </c>
      <c r="B49" s="38">
        <v>11.77</v>
      </c>
    </row>
    <row r="50" spans="1:12" x14ac:dyDescent="0.25">
      <c r="A50" t="s">
        <v>19</v>
      </c>
      <c r="B50" s="9">
        <f>-B9</f>
        <v>-3</v>
      </c>
    </row>
    <row r="51" spans="1:12" x14ac:dyDescent="0.25">
      <c r="A51" t="s">
        <v>55</v>
      </c>
      <c r="B51" s="3">
        <f>-B45*C17</f>
        <v>-4.1744700000000003</v>
      </c>
    </row>
    <row r="52" spans="1:12" x14ac:dyDescent="0.25">
      <c r="A52" t="s">
        <v>89</v>
      </c>
      <c r="B52" s="9">
        <f>-SUM(D46:H46)</f>
        <v>-1.5</v>
      </c>
    </row>
    <row r="53" spans="1:12" x14ac:dyDescent="0.25">
      <c r="A53" s="22" t="s">
        <v>94</v>
      </c>
      <c r="B53" s="30">
        <f>SUM(B49:B52)</f>
        <v>3.0955299999999992</v>
      </c>
    </row>
    <row r="55" spans="1:12" ht="31.5" x14ac:dyDescent="0.25">
      <c r="A55" s="23" t="s">
        <v>90</v>
      </c>
      <c r="B55" s="24"/>
      <c r="C55" s="24"/>
      <c r="D55" s="27" t="s">
        <v>0</v>
      </c>
      <c r="E55" s="27" t="s">
        <v>1</v>
      </c>
      <c r="F55" s="27" t="s">
        <v>2</v>
      </c>
      <c r="G55" s="24" t="s">
        <v>30</v>
      </c>
      <c r="H55" s="24" t="s">
        <v>63</v>
      </c>
      <c r="I55" s="28"/>
      <c r="J55" s="26"/>
      <c r="K55" s="26"/>
      <c r="L55" s="26" t="s">
        <v>10</v>
      </c>
    </row>
    <row r="56" spans="1:12" x14ac:dyDescent="0.25">
      <c r="A56" s="1" t="s">
        <v>91</v>
      </c>
      <c r="D56" s="55">
        <f>B53</f>
        <v>3.0955299999999992</v>
      </c>
      <c r="E56" s="6"/>
      <c r="F56" s="6"/>
      <c r="G56" s="6"/>
      <c r="H56" s="6"/>
    </row>
    <row r="57" spans="1:12" x14ac:dyDescent="0.25">
      <c r="A57" s="1" t="s">
        <v>93</v>
      </c>
      <c r="D57" s="6">
        <f>D56</f>
        <v>3.0955299999999992</v>
      </c>
      <c r="E57" s="6">
        <f>D60</f>
        <v>5.2938439999999707</v>
      </c>
      <c r="F57" s="6">
        <f>E60</f>
        <v>3.9547909999999988</v>
      </c>
      <c r="G57" s="6">
        <f>F60</f>
        <v>5.1418183000022655E-2</v>
      </c>
      <c r="H57" s="6">
        <f>G60</f>
        <v>-5.9053771619950126</v>
      </c>
    </row>
    <row r="58" spans="1:12" x14ac:dyDescent="0.25">
      <c r="A58" s="1" t="s">
        <v>33</v>
      </c>
      <c r="D58" s="55">
        <f>-D36</f>
        <v>0</v>
      </c>
      <c r="E58" s="55">
        <f>-E36</f>
        <v>-1.35</v>
      </c>
      <c r="F58" s="55">
        <f>-F36</f>
        <v>-3.91</v>
      </c>
      <c r="G58" s="55">
        <f>-G36</f>
        <v>0</v>
      </c>
      <c r="H58" s="55">
        <f>-H36</f>
        <v>0</v>
      </c>
    </row>
    <row r="59" spans="1:12" x14ac:dyDescent="0.25">
      <c r="A59" s="1" t="s">
        <v>88</v>
      </c>
      <c r="C59" s="3"/>
      <c r="D59" s="55">
        <f>D38</f>
        <v>2.1983139999999715</v>
      </c>
      <c r="E59" s="55">
        <f>E38</f>
        <v>1.094700000002824E-2</v>
      </c>
      <c r="F59" s="55">
        <f>F38</f>
        <v>6.6271830000239618E-3</v>
      </c>
      <c r="G59" s="55">
        <f>G38</f>
        <v>-5.9567953449950348</v>
      </c>
      <c r="H59" s="55">
        <f>H38</f>
        <v>-8.3842780814579925</v>
      </c>
    </row>
    <row r="60" spans="1:12" x14ac:dyDescent="0.25">
      <c r="A60" s="17" t="s">
        <v>92</v>
      </c>
      <c r="B60" s="57"/>
      <c r="C60" s="57"/>
      <c r="D60" s="58">
        <f>SUM(D57:D59)</f>
        <v>5.2938439999999707</v>
      </c>
      <c r="E60" s="58">
        <f>SUM(E57:E59)</f>
        <v>3.9547909999999988</v>
      </c>
      <c r="F60" s="58">
        <f>SUM(F57:F59)</f>
        <v>5.1418183000022655E-2</v>
      </c>
      <c r="G60" s="58">
        <f>SUM(G57:G59)</f>
        <v>-5.9053771619950126</v>
      </c>
      <c r="H60" s="58">
        <f>SUM(H57:H59)</f>
        <v>-14.289655243453005</v>
      </c>
      <c r="I60" s="56"/>
      <c r="J60" s="56"/>
      <c r="K60" s="56"/>
      <c r="L60" s="41" t="s">
        <v>95</v>
      </c>
    </row>
    <row r="61" spans="1:12" x14ac:dyDescent="0.25">
      <c r="A61" s="39"/>
      <c r="B61" s="40"/>
    </row>
    <row r="62" spans="1:12" x14ac:dyDescent="0.25">
      <c r="A62" s="39"/>
      <c r="B62" s="40"/>
    </row>
    <row r="63" spans="1:12" x14ac:dyDescent="0.25">
      <c r="A63" s="39"/>
      <c r="B63" s="40"/>
    </row>
    <row r="64" spans="1:12" x14ac:dyDescent="0.25">
      <c r="A64" s="39"/>
      <c r="B64" s="40"/>
    </row>
    <row r="65" spans="1:12" x14ac:dyDescent="0.25">
      <c r="A65" s="39"/>
      <c r="B65" s="40"/>
    </row>
    <row r="67" spans="1:12" ht="31.5" x14ac:dyDescent="0.25">
      <c r="A67" s="23" t="s">
        <v>6</v>
      </c>
      <c r="B67" s="24"/>
      <c r="C67" s="24"/>
      <c r="D67" s="27" t="s">
        <v>0</v>
      </c>
      <c r="E67" s="27" t="s">
        <v>1</v>
      </c>
      <c r="F67" s="27" t="s">
        <v>2</v>
      </c>
      <c r="G67" s="24" t="s">
        <v>30</v>
      </c>
      <c r="H67" s="24" t="s">
        <v>63</v>
      </c>
      <c r="I67" s="28"/>
      <c r="J67" s="26"/>
      <c r="K67" s="26"/>
      <c r="L67" s="26" t="s">
        <v>10</v>
      </c>
    </row>
    <row r="68" spans="1:12" x14ac:dyDescent="0.25">
      <c r="A68" s="1" t="s">
        <v>87</v>
      </c>
      <c r="E68" s="55">
        <f>$B44</f>
        <v>3</v>
      </c>
      <c r="F68" s="55">
        <f>$B44</f>
        <v>3</v>
      </c>
      <c r="G68" s="55">
        <f>$B44</f>
        <v>3</v>
      </c>
      <c r="H68" s="55">
        <f>$B44</f>
        <v>3</v>
      </c>
    </row>
    <row r="69" spans="1:12" x14ac:dyDescent="0.25">
      <c r="A69" s="1" t="s">
        <v>88</v>
      </c>
      <c r="C69" s="3"/>
      <c r="E69" s="6">
        <f>D38</f>
        <v>2.1983139999999715</v>
      </c>
      <c r="F69" s="6">
        <f>E38</f>
        <v>1.094700000002824E-2</v>
      </c>
      <c r="G69" s="6">
        <f>F38</f>
        <v>6.6271830000239618E-3</v>
      </c>
      <c r="H69" s="6">
        <f>G38</f>
        <v>-5.9567953449950348</v>
      </c>
    </row>
    <row r="70" spans="1:12" x14ac:dyDescent="0.25">
      <c r="A70" s="1" t="s">
        <v>86</v>
      </c>
      <c r="C70" s="3"/>
      <c r="D70" s="55">
        <f>B49</f>
        <v>11.77</v>
      </c>
      <c r="E70" s="3">
        <f>D75+E68+E69</f>
        <v>12.468313999999971</v>
      </c>
      <c r="F70" s="3">
        <f>E75+F68+F69</f>
        <v>11.129261</v>
      </c>
      <c r="G70" s="3">
        <f>F75+G68+G69</f>
        <v>7.2258881830000234</v>
      </c>
      <c r="H70" s="3">
        <f>G75+H68+H69</f>
        <v>1.2690928380049886</v>
      </c>
      <c r="I70" s="10"/>
      <c r="J70" s="16"/>
      <c r="K70" s="16"/>
      <c r="L70" s="16" t="s">
        <v>85</v>
      </c>
    </row>
    <row r="71" spans="1:12" x14ac:dyDescent="0.25">
      <c r="A71" s="1" t="s">
        <v>58</v>
      </c>
      <c r="C71" s="3"/>
      <c r="D71" s="55">
        <f>-D46</f>
        <v>-1.5</v>
      </c>
      <c r="E71" s="55">
        <f t="shared" ref="E71:H71" si="13">-E46</f>
        <v>0</v>
      </c>
      <c r="F71" s="55">
        <f t="shared" si="13"/>
        <v>0</v>
      </c>
      <c r="G71" s="55">
        <f t="shared" si="13"/>
        <v>0</v>
      </c>
      <c r="H71" s="55">
        <f t="shared" si="13"/>
        <v>0</v>
      </c>
      <c r="L71" s="16" t="s">
        <v>32</v>
      </c>
    </row>
    <row r="72" spans="1:12" x14ac:dyDescent="0.25">
      <c r="A72" s="1" t="s">
        <v>36</v>
      </c>
      <c r="C72" s="3"/>
      <c r="D72" s="3">
        <f t="shared" ref="D72:H73" si="14">-D15</f>
        <v>-0.55000000000000004</v>
      </c>
      <c r="E72" s="3">
        <f t="shared" si="14"/>
        <v>-0.55000000000000004</v>
      </c>
      <c r="F72" s="3">
        <f t="shared" si="14"/>
        <v>-0.55000000000000004</v>
      </c>
      <c r="G72" s="3">
        <f t="shared" si="14"/>
        <v>-0.55000000000000004</v>
      </c>
      <c r="H72" s="3">
        <f t="shared" si="14"/>
        <v>-0.55000000000000004</v>
      </c>
      <c r="L72" s="16"/>
    </row>
    <row r="73" spans="1:12" x14ac:dyDescent="0.25">
      <c r="A73" s="1" t="s">
        <v>35</v>
      </c>
      <c r="C73" s="3"/>
      <c r="D73" s="3">
        <f t="shared" si="14"/>
        <v>-2.4500000000000002</v>
      </c>
      <c r="E73" s="3">
        <f t="shared" si="14"/>
        <v>-2.4500000000000002</v>
      </c>
      <c r="F73" s="3">
        <f t="shared" si="14"/>
        <v>-2.4500000000000002</v>
      </c>
      <c r="G73" s="3">
        <f t="shared" si="14"/>
        <v>-2.4500000000000002</v>
      </c>
      <c r="H73" s="3">
        <f t="shared" si="14"/>
        <v>-2.4500000000000002</v>
      </c>
    </row>
    <row r="74" spans="1:12" x14ac:dyDescent="0.25">
      <c r="A74" s="1" t="s">
        <v>33</v>
      </c>
      <c r="D74" s="55">
        <f>-D36</f>
        <v>0</v>
      </c>
      <c r="E74" s="55">
        <f>-E36</f>
        <v>-1.35</v>
      </c>
      <c r="F74" s="55">
        <f>-F36</f>
        <v>-3.91</v>
      </c>
      <c r="G74" s="55">
        <f>-G36</f>
        <v>0</v>
      </c>
      <c r="H74" s="55">
        <f>-H36</f>
        <v>0</v>
      </c>
    </row>
    <row r="75" spans="1:12" x14ac:dyDescent="0.25">
      <c r="A75" s="17" t="s">
        <v>34</v>
      </c>
      <c r="B75" s="57"/>
      <c r="C75" s="57"/>
      <c r="D75" s="58">
        <f>SUM(D70:D74)</f>
        <v>7.2699999999999987</v>
      </c>
      <c r="E75" s="58">
        <f>SUM(E70:E74)</f>
        <v>8.1183139999999714</v>
      </c>
      <c r="F75" s="58">
        <f>SUM(F70:F74)</f>
        <v>4.2192609999999995</v>
      </c>
      <c r="G75" s="58">
        <f>SUM(G70:G74)</f>
        <v>4.2258881830000234</v>
      </c>
      <c r="H75" s="58">
        <f>SUM(H70:H74)</f>
        <v>-1.7309071619950116</v>
      </c>
      <c r="I75" s="56"/>
      <c r="J75" s="56"/>
      <c r="K75" s="56"/>
      <c r="L75" s="41" t="s">
        <v>54</v>
      </c>
    </row>
    <row r="77" spans="1:12" x14ac:dyDescent="0.25">
      <c r="A77" s="39" t="s">
        <v>53</v>
      </c>
      <c r="C77" s="39"/>
      <c r="D77" s="40">
        <f>$B$45*C17</f>
        <v>4.1744700000000003</v>
      </c>
      <c r="E77" s="40">
        <f>$B$45*D17</f>
        <v>4.0192800000000002</v>
      </c>
      <c r="F77" s="40">
        <f>$B$45*E17</f>
        <v>4.1340000000000003</v>
      </c>
      <c r="G77" s="40">
        <f>$B$45*F17</f>
        <v>4.25169</v>
      </c>
      <c r="H77" s="40">
        <f>$B$45*G17</f>
        <v>4.3734135542621875</v>
      </c>
      <c r="L77" s="51"/>
    </row>
  </sheetData>
  <conditionalFormatting sqref="D38">
    <cfRule type="expression" dxfId="124" priority="16">
      <formula>$D$38&lt;0</formula>
    </cfRule>
  </conditionalFormatting>
  <conditionalFormatting sqref="D60">
    <cfRule type="expression" dxfId="123" priority="5">
      <formula>$D$60&lt;0</formula>
    </cfRule>
  </conditionalFormatting>
  <conditionalFormatting sqref="D75">
    <cfRule type="expression" dxfId="122" priority="12">
      <formula>$D$75&lt;$D$77</formula>
    </cfRule>
  </conditionalFormatting>
  <conditionalFormatting sqref="D60:H60">
    <cfRule type="expression" dxfId="121" priority="6">
      <formula>$D$51&lt;#REF!</formula>
    </cfRule>
  </conditionalFormatting>
  <conditionalFormatting sqref="E38">
    <cfRule type="expression" dxfId="120" priority="15">
      <formula>$E$38&lt;0</formula>
    </cfRule>
  </conditionalFormatting>
  <conditionalFormatting sqref="E60">
    <cfRule type="expression" dxfId="119" priority="4">
      <formula>$E$60&lt;0</formula>
    </cfRule>
  </conditionalFormatting>
  <conditionalFormatting sqref="E75">
    <cfRule type="expression" dxfId="118" priority="11">
      <formula>$E$75&lt;$E$77</formula>
    </cfRule>
  </conditionalFormatting>
  <conditionalFormatting sqref="F38">
    <cfRule type="expression" dxfId="117" priority="14">
      <formula>$F$38&lt;0</formula>
    </cfRule>
  </conditionalFormatting>
  <conditionalFormatting sqref="F60">
    <cfRule type="expression" dxfId="116" priority="3">
      <formula>$F$60&lt;0</formula>
    </cfRule>
  </conditionalFormatting>
  <conditionalFormatting sqref="F75">
    <cfRule type="expression" dxfId="115" priority="10">
      <formula>$F$75&lt;$F$77</formula>
    </cfRule>
  </conditionalFormatting>
  <conditionalFormatting sqref="G60">
    <cfRule type="expression" dxfId="114" priority="2">
      <formula>$G$60&lt;0</formula>
    </cfRule>
  </conditionalFormatting>
  <conditionalFormatting sqref="G75">
    <cfRule type="expression" dxfId="113" priority="9">
      <formula>$G$75&lt;$G$77</formula>
    </cfRule>
  </conditionalFormatting>
  <conditionalFormatting sqref="G38:H38">
    <cfRule type="expression" dxfId="112" priority="13">
      <formula>$G$38&lt;0</formula>
    </cfRule>
  </conditionalFormatting>
  <conditionalFormatting sqref="H60">
    <cfRule type="expression" dxfId="111" priority="1">
      <formula>$H$60&lt;0</formula>
    </cfRule>
  </conditionalFormatting>
  <conditionalFormatting sqref="H75">
    <cfRule type="expression" dxfId="110" priority="8">
      <formula>$H$75&lt;$H$77</formula>
    </cfRule>
  </conditionalFormatting>
  <pageMargins left="0.7" right="0.7" top="0.75" bottom="0.75" header="0.3" footer="0.3"/>
  <pageSetup scale="44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CA8F4-5F53-3240-BF33-4D4D54CB1690}">
  <sheetPr>
    <pageSetUpPr fitToPage="1"/>
  </sheetPr>
  <dimension ref="A1:L81"/>
  <sheetViews>
    <sheetView zoomScaleNormal="100" workbookViewId="0">
      <selection activeCell="A2" sqref="A2"/>
    </sheetView>
  </sheetViews>
  <sheetFormatPr defaultColWidth="11" defaultRowHeight="15.75" x14ac:dyDescent="0.25"/>
  <cols>
    <col min="1" max="1" width="50.625" customWidth="1"/>
    <col min="2" max="2" width="7.5" customWidth="1"/>
    <col min="3" max="8" width="10.625" customWidth="1"/>
    <col min="9" max="11" width="7.5" customWidth="1"/>
    <col min="12" max="12" width="52" customWidth="1"/>
  </cols>
  <sheetData>
    <row r="1" spans="1:12" s="1" customFormat="1" ht="18.75" x14ac:dyDescent="0.3">
      <c r="A1" s="44" t="s">
        <v>96</v>
      </c>
    </row>
    <row r="2" spans="1:12" ht="12.95" customHeight="1" x14ac:dyDescent="0.25">
      <c r="A2" s="33" t="s">
        <v>21</v>
      </c>
    </row>
    <row r="3" spans="1:12" ht="12.95" customHeight="1" x14ac:dyDescent="0.25">
      <c r="A3" s="33" t="s">
        <v>29</v>
      </c>
    </row>
    <row r="4" spans="1:12" ht="12.95" customHeight="1" x14ac:dyDescent="0.25">
      <c r="A4" s="33" t="s">
        <v>59</v>
      </c>
    </row>
    <row r="6" spans="1:12" x14ac:dyDescent="0.25">
      <c r="A6" s="53" t="s">
        <v>20</v>
      </c>
      <c r="B6" s="54"/>
    </row>
    <row r="7" spans="1:12" x14ac:dyDescent="0.25">
      <c r="A7" s="20" t="s">
        <v>72</v>
      </c>
      <c r="B7" s="45">
        <v>0.05</v>
      </c>
      <c r="C7" s="47"/>
    </row>
    <row r="8" spans="1:12" x14ac:dyDescent="0.25">
      <c r="A8" s="20" t="s">
        <v>73</v>
      </c>
      <c r="B8" s="45">
        <v>7.0000000000000007E-2</v>
      </c>
      <c r="C8" s="47"/>
    </row>
    <row r="9" spans="1:12" x14ac:dyDescent="0.25">
      <c r="A9" s="20" t="s">
        <v>74</v>
      </c>
      <c r="B9" s="45">
        <v>0.03</v>
      </c>
      <c r="C9" s="47"/>
    </row>
    <row r="10" spans="1:12" x14ac:dyDescent="0.25">
      <c r="A10" s="20" t="s">
        <v>70</v>
      </c>
      <c r="B10" s="45">
        <v>2.5000000000000001E-2</v>
      </c>
      <c r="C10" s="47"/>
    </row>
    <row r="11" spans="1:12" x14ac:dyDescent="0.25">
      <c r="A11" s="20" t="s">
        <v>71</v>
      </c>
      <c r="B11" s="45">
        <v>3.9E-2</v>
      </c>
      <c r="C11" s="47"/>
    </row>
    <row r="12" spans="1:12" x14ac:dyDescent="0.25">
      <c r="A12" s="76" t="s">
        <v>19</v>
      </c>
      <c r="B12" s="79">
        <v>3</v>
      </c>
      <c r="C12" s="16" t="s">
        <v>51</v>
      </c>
    </row>
    <row r="14" spans="1:12" ht="31.5" x14ac:dyDescent="0.25">
      <c r="A14" s="23" t="s">
        <v>43</v>
      </c>
      <c r="B14" s="24" t="s">
        <v>45</v>
      </c>
      <c r="C14" s="24" t="s">
        <v>24</v>
      </c>
      <c r="D14" s="24" t="s">
        <v>0</v>
      </c>
      <c r="E14" s="24" t="s">
        <v>1</v>
      </c>
      <c r="F14" s="24" t="s">
        <v>2</v>
      </c>
      <c r="G14" s="24" t="s">
        <v>30</v>
      </c>
      <c r="H14" s="24" t="s">
        <v>63</v>
      </c>
      <c r="I14" s="25" t="s">
        <v>12</v>
      </c>
      <c r="J14" s="25" t="s">
        <v>11</v>
      </c>
      <c r="K14" s="25" t="s">
        <v>69</v>
      </c>
      <c r="L14" s="26" t="s">
        <v>10</v>
      </c>
    </row>
    <row r="15" spans="1:12" x14ac:dyDescent="0.25">
      <c r="A15" s="1" t="s">
        <v>3</v>
      </c>
      <c r="B15" s="3">
        <v>102.786</v>
      </c>
      <c r="C15" s="3">
        <v>106.319</v>
      </c>
      <c r="D15" s="3">
        <v>109.837</v>
      </c>
      <c r="E15" s="3">
        <v>113.44199999999999</v>
      </c>
      <c r="F15" s="3">
        <v>117.13800000000001</v>
      </c>
      <c r="G15" s="3">
        <f>F15*(1+J15)</f>
        <v>120.9685223734562</v>
      </c>
      <c r="H15" s="3">
        <f>G15*(1+J15)</f>
        <v>124.9243064182193</v>
      </c>
      <c r="I15" s="10">
        <f t="shared" ref="I15:I20" si="0">RATE(3,,-C15,F15)</f>
        <v>3.283030847200185E-2</v>
      </c>
      <c r="J15" s="10">
        <f t="shared" ref="J15:J20" si="1">RATE(2,,-D15,F15)</f>
        <v>3.2700937129336367E-2</v>
      </c>
      <c r="K15" s="10">
        <f t="shared" ref="K15:K20" si="2">RATE(2,,-F15,H15)</f>
        <v>3.2700937131517289E-2</v>
      </c>
      <c r="L15" s="15" t="s">
        <v>46</v>
      </c>
    </row>
    <row r="16" spans="1:12" x14ac:dyDescent="0.25">
      <c r="A16" s="1" t="s">
        <v>4</v>
      </c>
      <c r="B16" s="3">
        <v>12.856999999999999</v>
      </c>
      <c r="C16" s="3">
        <v>14.608000000000001</v>
      </c>
      <c r="D16" s="3">
        <f>14.772</f>
        <v>14.772</v>
      </c>
      <c r="E16" s="3">
        <f>14.963</f>
        <v>14.962999999999999</v>
      </c>
      <c r="F16" s="3">
        <f>15.154</f>
        <v>15.154</v>
      </c>
      <c r="G16" s="3">
        <f t="shared" ref="G16:G19" si="3">F16*(1+J16)</f>
        <v>15.348688594010779</v>
      </c>
      <c r="H16" s="3">
        <f>G16*(1+J16)</f>
        <v>15.54587841862984</v>
      </c>
      <c r="I16" s="10">
        <f t="shared" si="0"/>
        <v>1.2306846811684168E-2</v>
      </c>
      <c r="J16" s="10">
        <f t="shared" si="1"/>
        <v>1.2847340240911843E-2</v>
      </c>
      <c r="K16" s="10">
        <f t="shared" si="2"/>
        <v>1.2847340240912022E-2</v>
      </c>
      <c r="L16" s="15" t="s">
        <v>46</v>
      </c>
    </row>
    <row r="17" spans="1:12" x14ac:dyDescent="0.25">
      <c r="A17" s="1" t="s">
        <v>27</v>
      </c>
      <c r="B17" s="3">
        <f>10.8+0.368+1.388-2.919</f>
        <v>9.6370000000000005</v>
      </c>
      <c r="C17" s="3">
        <v>7.976</v>
      </c>
      <c r="D17" s="3">
        <v>6.367</v>
      </c>
      <c r="E17" s="3">
        <v>6.3949999999999996</v>
      </c>
      <c r="F17" s="3">
        <v>6.431</v>
      </c>
      <c r="G17" s="3">
        <f t="shared" si="3"/>
        <v>6.463240841272639</v>
      </c>
      <c r="H17" s="3">
        <f>G17*(1+J17)</f>
        <v>6.4956433171038173</v>
      </c>
      <c r="I17" s="10">
        <f t="shared" si="0"/>
        <v>-6.9254122226428613E-2</v>
      </c>
      <c r="J17" s="10">
        <f t="shared" si="1"/>
        <v>5.0133480442604936E-3</v>
      </c>
      <c r="K17" s="10">
        <f t="shared" si="2"/>
        <v>5.0133480442603575E-3</v>
      </c>
      <c r="L17" s="15" t="s">
        <v>46</v>
      </c>
    </row>
    <row r="18" spans="1:12" x14ac:dyDescent="0.25">
      <c r="A18" s="1" t="s">
        <v>28</v>
      </c>
      <c r="B18" s="4">
        <v>0.55000000000000004</v>
      </c>
      <c r="C18" s="4">
        <v>0.55000000000000004</v>
      </c>
      <c r="D18" s="4">
        <v>0.55000000000000004</v>
      </c>
      <c r="E18" s="4">
        <v>0.55000000000000004</v>
      </c>
      <c r="F18" s="4">
        <v>0.55000000000000004</v>
      </c>
      <c r="G18" s="4">
        <v>0.55000000000000004</v>
      </c>
      <c r="H18" s="4">
        <v>0.55000000000000004</v>
      </c>
      <c r="I18" s="10">
        <f t="shared" si="0"/>
        <v>4.5713096385530498E-14</v>
      </c>
      <c r="J18" s="10">
        <f t="shared" si="1"/>
        <v>-3.8736184847597014E-17</v>
      </c>
      <c r="K18" s="10">
        <f t="shared" si="2"/>
        <v>-3.8736184847597014E-17</v>
      </c>
      <c r="L18" s="15" t="s">
        <v>46</v>
      </c>
    </row>
    <row r="19" spans="1:12" x14ac:dyDescent="0.25">
      <c r="A19" s="1" t="s">
        <v>26</v>
      </c>
      <c r="B19" s="3">
        <f>5.96-0.55</f>
        <v>5.41</v>
      </c>
      <c r="C19" s="3">
        <f>10.246-C18</f>
        <v>9.6959999999999997</v>
      </c>
      <c r="D19" s="3">
        <f>3-D18</f>
        <v>2.4500000000000002</v>
      </c>
      <c r="E19" s="3">
        <f>3-E18</f>
        <v>2.4500000000000002</v>
      </c>
      <c r="F19" s="3">
        <f>3-F18</f>
        <v>2.4500000000000002</v>
      </c>
      <c r="G19" s="3">
        <f t="shared" si="3"/>
        <v>2.4500000000000002</v>
      </c>
      <c r="H19" s="3">
        <f>G19*(1+J19)</f>
        <v>2.4500000000000002</v>
      </c>
      <c r="I19" s="10">
        <f t="shared" si="0"/>
        <v>-0.36779514619600151</v>
      </c>
      <c r="J19" s="10">
        <f t="shared" si="1"/>
        <v>8.2036374720236702E-17</v>
      </c>
      <c r="K19" s="72">
        <f t="shared" si="2"/>
        <v>8.2036374720236702E-17</v>
      </c>
      <c r="L19" s="16" t="s">
        <v>62</v>
      </c>
    </row>
    <row r="20" spans="1:12" x14ac:dyDescent="0.25">
      <c r="A20" s="2" t="s">
        <v>8</v>
      </c>
      <c r="B20" s="5">
        <f t="shared" ref="B20:G20" si="4">SUM(B15:B19)</f>
        <v>131.24</v>
      </c>
      <c r="C20" s="5">
        <f t="shared" si="4"/>
        <v>139.14900000000003</v>
      </c>
      <c r="D20" s="5">
        <f t="shared" si="4"/>
        <v>133.976</v>
      </c>
      <c r="E20" s="5">
        <f t="shared" si="4"/>
        <v>137.80000000000001</v>
      </c>
      <c r="F20" s="5">
        <f t="shared" si="4"/>
        <v>141.72300000000001</v>
      </c>
      <c r="G20" s="5">
        <f t="shared" si="4"/>
        <v>145.7804518087396</v>
      </c>
      <c r="H20" s="5">
        <f t="shared" ref="H20" si="5">SUM(H15:H19)</f>
        <v>149.96582815395297</v>
      </c>
      <c r="I20" s="11">
        <f t="shared" si="0"/>
        <v>6.1284179876947989E-3</v>
      </c>
      <c r="J20" s="11">
        <f t="shared" si="1"/>
        <v>2.85056097769886E-2</v>
      </c>
      <c r="K20" s="10">
        <f t="shared" si="2"/>
        <v>2.8669792286757746E-2</v>
      </c>
      <c r="L20" s="15"/>
    </row>
    <row r="21" spans="1:12" x14ac:dyDescent="0.25">
      <c r="A21" s="1"/>
      <c r="B21" s="6"/>
      <c r="C21" s="6"/>
      <c r="D21" s="6"/>
      <c r="E21" s="6"/>
      <c r="F21" s="6"/>
      <c r="G21" s="6"/>
      <c r="H21" s="6"/>
      <c r="I21" s="12"/>
      <c r="J21" s="12"/>
      <c r="K21" s="12"/>
    </row>
    <row r="22" spans="1:12" ht="31.5" x14ac:dyDescent="0.25">
      <c r="A22" s="23" t="s">
        <v>42</v>
      </c>
      <c r="B22" s="24" t="s">
        <v>45</v>
      </c>
      <c r="C22" s="24" t="s">
        <v>24</v>
      </c>
      <c r="D22" s="27" t="s">
        <v>0</v>
      </c>
      <c r="E22" s="27" t="s">
        <v>1</v>
      </c>
      <c r="F22" s="27" t="s">
        <v>2</v>
      </c>
      <c r="G22" s="24" t="s">
        <v>30</v>
      </c>
      <c r="H22" s="24" t="s">
        <v>63</v>
      </c>
      <c r="I22" s="28" t="s">
        <v>9</v>
      </c>
      <c r="J22" s="28" t="s">
        <v>11</v>
      </c>
      <c r="K22" s="25" t="s">
        <v>69</v>
      </c>
      <c r="L22" s="26" t="s">
        <v>10</v>
      </c>
    </row>
    <row r="23" spans="1:12" x14ac:dyDescent="0.25">
      <c r="A23" s="1" t="s">
        <v>38</v>
      </c>
      <c r="B23" s="3">
        <v>45.351999999999997</v>
      </c>
      <c r="C23" s="3">
        <v>48.195</v>
      </c>
      <c r="D23" s="32">
        <f>50.325+0.089</f>
        <v>50.414000000000001</v>
      </c>
      <c r="E23" s="9">
        <f>D23*(1+$B$7)</f>
        <v>52.934700000000007</v>
      </c>
      <c r="F23" s="9">
        <f>E23*(1+$B$7)</f>
        <v>55.581435000000006</v>
      </c>
      <c r="G23" s="9">
        <f>F23*(1+$B$7)</f>
        <v>58.360506750000006</v>
      </c>
      <c r="H23" s="9">
        <f>G23*(1+$B$7)</f>
        <v>61.278532087500011</v>
      </c>
      <c r="I23" s="10">
        <f t="shared" ref="I23:I33" si="6">RATE(3,,-C23,F23)</f>
        <v>4.8679045718755996E-2</v>
      </c>
      <c r="J23" s="10">
        <f t="shared" ref="J23:J33" si="7">RATE(2,,-D23,F23)</f>
        <v>5.0000000000198032E-2</v>
      </c>
      <c r="K23" s="10">
        <f>RATE(2,,-F23,H23)</f>
        <v>5.0000000000197858E-2</v>
      </c>
      <c r="L23" s="16" t="s">
        <v>83</v>
      </c>
    </row>
    <row r="24" spans="1:12" x14ac:dyDescent="0.25">
      <c r="A24" s="1" t="s">
        <v>39</v>
      </c>
      <c r="B24" s="3">
        <v>7.6669999999999998</v>
      </c>
      <c r="C24" s="3">
        <f>8.677343+1.812087+1.328967</f>
        <v>11.818397000000001</v>
      </c>
      <c r="D24" s="32">
        <f>9.284758+1.938933+1.421995</f>
        <v>12.645686000000001</v>
      </c>
      <c r="E24" s="9">
        <f>D24*(1+$B$8)</f>
        <v>13.530884020000002</v>
      </c>
      <c r="F24" s="9">
        <f>E24*(1+$B$8)</f>
        <v>14.478045901400003</v>
      </c>
      <c r="G24" s="9">
        <f>F24*(1+$B$8)</f>
        <v>15.491509114498005</v>
      </c>
      <c r="H24" s="9">
        <f>G24*(1+$B$8)</f>
        <v>16.575914752512865</v>
      </c>
      <c r="I24" s="10">
        <f>RATE(3,,-C24,F24)</f>
        <v>7.0000034127996213E-2</v>
      </c>
      <c r="J24" s="10">
        <f>RATE(2,,-D24,F24)</f>
        <v>7.000000000000331E-2</v>
      </c>
      <c r="K24" s="10">
        <f>RATE(2,,-F24,H24)</f>
        <v>7.0000000000003421E-2</v>
      </c>
      <c r="L24" s="16" t="s">
        <v>83</v>
      </c>
    </row>
    <row r="25" spans="1:12" x14ac:dyDescent="0.25">
      <c r="A25" s="1" t="s">
        <v>40</v>
      </c>
      <c r="B25" s="3">
        <v>2.8769999999999998</v>
      </c>
      <c r="C25" s="3">
        <f>2.599608+0.274205</f>
        <v>2.8738129999999997</v>
      </c>
      <c r="D25" s="32">
        <f>2.702262+0.28106+0.305+0.024+0.1</f>
        <v>3.4123220000000005</v>
      </c>
      <c r="E25" s="9">
        <f>D25*(1+$B$9)</f>
        <v>3.5146916600000004</v>
      </c>
      <c r="F25" s="9">
        <f>E25*(1+$B$9)</f>
        <v>3.6201324098000005</v>
      </c>
      <c r="G25" s="9">
        <f>F25*(1+$B$9)</f>
        <v>3.7287363820940005</v>
      </c>
      <c r="H25" s="9">
        <f>G25*(1+$B$9)</f>
        <v>3.8405984735568208</v>
      </c>
      <c r="I25" s="10">
        <f>RATE(3,,-C25,F25)</f>
        <v>7.9995593473354859E-2</v>
      </c>
      <c r="J25" s="10">
        <f>RATE(2,,-D25,F25)</f>
        <v>3.0000000003001865E-2</v>
      </c>
      <c r="K25" s="10">
        <f>RATE(2,,-F25,H25)</f>
        <v>3.0000000003001945E-2</v>
      </c>
      <c r="L25" s="16" t="s">
        <v>83</v>
      </c>
    </row>
    <row r="26" spans="1:12" x14ac:dyDescent="0.25">
      <c r="A26" s="1" t="s">
        <v>44</v>
      </c>
      <c r="B26" s="3">
        <v>0</v>
      </c>
      <c r="C26" s="3">
        <v>0.6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10"/>
      <c r="J26" s="10"/>
      <c r="K26" s="10"/>
      <c r="L26" s="16" t="s">
        <v>41</v>
      </c>
    </row>
    <row r="27" spans="1:12" x14ac:dyDescent="0.25">
      <c r="A27" s="1" t="s">
        <v>7</v>
      </c>
      <c r="B27" s="3">
        <v>32.473999999999997</v>
      </c>
      <c r="C27" s="3">
        <v>33.305</v>
      </c>
      <c r="D27" s="32">
        <v>33.375</v>
      </c>
      <c r="E27" s="9">
        <f>D27*(1+$B$10)</f>
        <v>34.209374999999994</v>
      </c>
      <c r="F27" s="9">
        <f>E27*(1+$B$10)</f>
        <v>35.064609374999989</v>
      </c>
      <c r="G27" s="9">
        <f>F27*(1+$B$10)</f>
        <v>35.941224609374984</v>
      </c>
      <c r="H27" s="9">
        <f>G27*(1+$B$10)</f>
        <v>36.839755224609355</v>
      </c>
      <c r="I27" s="10">
        <f t="shared" si="6"/>
        <v>1.7309708338030697E-2</v>
      </c>
      <c r="J27" s="10">
        <f t="shared" si="7"/>
        <v>2.4999999999999932E-2</v>
      </c>
      <c r="K27" s="10">
        <f t="shared" ref="K27:K33" si="8">RATE(2,,-F27,H27)</f>
        <v>2.4999999999999922E-2</v>
      </c>
      <c r="L27" s="16"/>
    </row>
    <row r="28" spans="1:12" x14ac:dyDescent="0.25">
      <c r="A28" s="1" t="s">
        <v>13</v>
      </c>
      <c r="B28" s="3">
        <v>6.3209999999999997</v>
      </c>
      <c r="C28" s="3">
        <v>7.5190000000000001</v>
      </c>
      <c r="D28" s="32">
        <v>7.5750000000000002</v>
      </c>
      <c r="E28" s="3">
        <v>7.7450000000000001</v>
      </c>
      <c r="F28" s="3">
        <v>7.9180000000000001</v>
      </c>
      <c r="G28" s="3">
        <f t="shared" ref="G28:G31" si="9">F28*(1+J28)</f>
        <v>8.0952809839340887</v>
      </c>
      <c r="H28" s="3">
        <f>G28*(1+J28)</f>
        <v>8.2765312211221111</v>
      </c>
      <c r="I28" s="10">
        <f t="shared" si="6"/>
        <v>1.738454854762286E-2</v>
      </c>
      <c r="J28" s="10">
        <f t="shared" si="7"/>
        <v>2.2389616561516768E-2</v>
      </c>
      <c r="K28" s="10">
        <f t="shared" si="8"/>
        <v>2.2389616561516657E-2</v>
      </c>
      <c r="L28" s="16" t="s">
        <v>47</v>
      </c>
    </row>
    <row r="29" spans="1:12" x14ac:dyDescent="0.25">
      <c r="A29" s="1" t="s">
        <v>14</v>
      </c>
      <c r="B29" s="3">
        <v>25.477</v>
      </c>
      <c r="C29" s="3">
        <v>26.213999999999999</v>
      </c>
      <c r="D29" s="32">
        <v>26.402000000000001</v>
      </c>
      <c r="E29" s="9">
        <f>D29*(1+$B$11)</f>
        <v>27.431677999999998</v>
      </c>
      <c r="F29" s="9">
        <f>E29*(1+$B$11)</f>
        <v>28.501513441999997</v>
      </c>
      <c r="G29" s="9">
        <f>F29*(1+$B$11)</f>
        <v>29.613072466237995</v>
      </c>
      <c r="H29" s="9">
        <f>G29*(1+$B$11)</f>
        <v>30.767982292421273</v>
      </c>
      <c r="I29" s="10">
        <f t="shared" si="6"/>
        <v>2.8280363131910055E-2</v>
      </c>
      <c r="J29" s="10">
        <f t="shared" si="7"/>
        <v>3.9000000000983658E-2</v>
      </c>
      <c r="K29" s="10">
        <f t="shared" si="8"/>
        <v>3.9000000000983658E-2</v>
      </c>
      <c r="L29" s="16"/>
    </row>
    <row r="30" spans="1:12" x14ac:dyDescent="0.25">
      <c r="A30" s="1" t="s">
        <v>15</v>
      </c>
      <c r="B30" s="3">
        <v>1.2490000000000001</v>
      </c>
      <c r="C30" s="3">
        <v>3.3740000000000001</v>
      </c>
      <c r="D30" s="32">
        <v>1.5609999999999999</v>
      </c>
      <c r="E30" s="3">
        <v>1.601</v>
      </c>
      <c r="F30" s="3">
        <v>1.6439999999999999</v>
      </c>
      <c r="G30" s="3">
        <f t="shared" si="9"/>
        <v>1.6871405677428037</v>
      </c>
      <c r="H30" s="3">
        <f>G30*(1+J30)</f>
        <v>1.731413196668802</v>
      </c>
      <c r="I30" s="10">
        <f t="shared" si="6"/>
        <v>-0.21310114812985417</v>
      </c>
      <c r="J30" s="10">
        <f t="shared" si="7"/>
        <v>2.6241221254747003E-2</v>
      </c>
      <c r="K30" s="10">
        <f t="shared" si="8"/>
        <v>2.6241221254746781E-2</v>
      </c>
      <c r="L30" s="15"/>
    </row>
    <row r="31" spans="1:12" x14ac:dyDescent="0.25">
      <c r="A31" s="1" t="s">
        <v>16</v>
      </c>
      <c r="B31" s="3">
        <v>5.0839999999999996</v>
      </c>
      <c r="C31" s="3">
        <v>5.2480000000000002</v>
      </c>
      <c r="D31" s="32">
        <f>5.842-0.5</f>
        <v>5.3419999999999996</v>
      </c>
      <c r="E31" s="3">
        <f>5.957-0.5</f>
        <v>5.4569999999999999</v>
      </c>
      <c r="F31" s="3">
        <f>6.08-0.5</f>
        <v>5.58</v>
      </c>
      <c r="G31" s="3">
        <f t="shared" si="9"/>
        <v>5.7029472764167242</v>
      </c>
      <c r="H31" s="3">
        <f>G31*(1+J31)</f>
        <v>5.8286035192811703</v>
      </c>
      <c r="I31" s="10">
        <f t="shared" si="6"/>
        <v>2.065771853799413E-2</v>
      </c>
      <c r="J31" s="10">
        <f t="shared" si="7"/>
        <v>2.2033562081850054E-2</v>
      </c>
      <c r="K31" s="10">
        <f t="shared" si="8"/>
        <v>2.2033562081850297E-2</v>
      </c>
      <c r="L31" s="15"/>
    </row>
    <row r="32" spans="1:12" x14ac:dyDescent="0.25">
      <c r="A32" s="1" t="s">
        <v>64</v>
      </c>
      <c r="B32" s="3"/>
      <c r="C32" s="3"/>
      <c r="D32" s="32">
        <v>0.5</v>
      </c>
      <c r="E32" s="32">
        <v>0.5</v>
      </c>
      <c r="F32" s="32">
        <v>0.5</v>
      </c>
      <c r="G32" s="32">
        <v>0.5</v>
      </c>
      <c r="H32" s="32">
        <v>0.5</v>
      </c>
      <c r="I32" s="10"/>
      <c r="J32" s="10">
        <f t="shared" si="7"/>
        <v>7.7404550817594379E-17</v>
      </c>
      <c r="K32" s="72">
        <f t="shared" si="8"/>
        <v>7.7404550817594379E-17</v>
      </c>
      <c r="L32" s="16" t="s">
        <v>48</v>
      </c>
    </row>
    <row r="33" spans="1:12" x14ac:dyDescent="0.25">
      <c r="A33" s="2" t="s">
        <v>5</v>
      </c>
      <c r="B33" s="5">
        <f t="shared" ref="B33:G33" si="10">SUM(B23:B32)</f>
        <v>126.501</v>
      </c>
      <c r="C33" s="5">
        <f t="shared" si="10"/>
        <v>139.14721</v>
      </c>
      <c r="D33" s="5">
        <f t="shared" si="10"/>
        <v>141.22700800000001</v>
      </c>
      <c r="E33" s="5">
        <f t="shared" si="10"/>
        <v>146.92432868</v>
      </c>
      <c r="F33" s="5">
        <f t="shared" si="10"/>
        <v>152.88773612820003</v>
      </c>
      <c r="G33" s="5">
        <f t="shared" si="10"/>
        <v>159.1204181502986</v>
      </c>
      <c r="H33" s="5">
        <f t="shared" ref="H33" si="11">SUM(H23:H32)</f>
        <v>165.63933076767242</v>
      </c>
      <c r="I33" s="11">
        <f t="shared" si="6"/>
        <v>3.1888365181700962E-2</v>
      </c>
      <c r="J33" s="11">
        <f t="shared" si="7"/>
        <v>4.0464928463798358E-2</v>
      </c>
      <c r="K33" s="10">
        <f t="shared" si="8"/>
        <v>4.08674047479472E-2</v>
      </c>
      <c r="L33" s="16" t="s">
        <v>61</v>
      </c>
    </row>
    <row r="34" spans="1:12" x14ac:dyDescent="0.25">
      <c r="A34" s="1"/>
      <c r="B34" s="3"/>
      <c r="C34" s="3"/>
      <c r="D34" s="3"/>
      <c r="E34" s="3"/>
      <c r="F34" s="3"/>
      <c r="G34" s="3"/>
      <c r="H34" s="3"/>
      <c r="I34" s="10"/>
      <c r="J34" s="10"/>
      <c r="K34" s="10"/>
    </row>
    <row r="35" spans="1:12" x14ac:dyDescent="0.25">
      <c r="A35" s="17" t="s">
        <v>17</v>
      </c>
      <c r="B35" s="34">
        <f t="shared" ref="B35:H35" si="12">B20-B33</f>
        <v>4.7390000000000043</v>
      </c>
      <c r="C35" s="34">
        <f t="shared" si="12"/>
        <v>1.790000000028158E-3</v>
      </c>
      <c r="D35" s="34">
        <f t="shared" si="12"/>
        <v>-7.251008000000013</v>
      </c>
      <c r="E35" s="34">
        <f t="shared" si="12"/>
        <v>-9.1243286799999908</v>
      </c>
      <c r="F35" s="34">
        <f t="shared" si="12"/>
        <v>-11.164736128200019</v>
      </c>
      <c r="G35" s="34">
        <f t="shared" si="12"/>
        <v>-13.339966341559006</v>
      </c>
      <c r="H35" s="34">
        <f t="shared" si="12"/>
        <v>-15.67350261371945</v>
      </c>
      <c r="I35" s="35"/>
      <c r="J35" s="35"/>
      <c r="K35" s="35"/>
      <c r="L35" s="17"/>
    </row>
    <row r="36" spans="1:12" x14ac:dyDescent="0.25">
      <c r="A36" s="1"/>
      <c r="B36" s="7"/>
      <c r="C36" s="7"/>
      <c r="D36" s="7"/>
      <c r="E36" s="7"/>
      <c r="F36" s="7"/>
      <c r="G36" s="7"/>
      <c r="H36" s="7"/>
      <c r="I36" s="13"/>
      <c r="J36" s="13"/>
      <c r="K36" s="13"/>
    </row>
    <row r="37" spans="1:12" ht="31.5" x14ac:dyDescent="0.25">
      <c r="A37" s="23" t="s">
        <v>31</v>
      </c>
      <c r="B37" s="27"/>
      <c r="C37" s="27"/>
      <c r="D37" s="27" t="s">
        <v>0</v>
      </c>
      <c r="E37" s="27" t="s">
        <v>1</v>
      </c>
      <c r="F37" s="27" t="s">
        <v>2</v>
      </c>
      <c r="G37" s="24" t="s">
        <v>30</v>
      </c>
      <c r="H37" s="24" t="s">
        <v>63</v>
      </c>
      <c r="I37" s="28"/>
      <c r="J37" s="28" t="s">
        <v>11</v>
      </c>
      <c r="K37" s="25" t="s">
        <v>69</v>
      </c>
      <c r="L37" s="26" t="s">
        <v>10</v>
      </c>
    </row>
    <row r="38" spans="1:12" x14ac:dyDescent="0.25">
      <c r="A38" s="1" t="s">
        <v>49</v>
      </c>
      <c r="B38" s="8"/>
      <c r="C38" s="8"/>
      <c r="D38" s="31">
        <v>8</v>
      </c>
      <c r="E38" s="4">
        <f>D38*1.025</f>
        <v>8.1999999999999993</v>
      </c>
      <c r="F38" s="4">
        <f>E38*1.025</f>
        <v>8.4049999999999994</v>
      </c>
      <c r="G38" s="4">
        <f>F38*1.025</f>
        <v>8.615124999999999</v>
      </c>
      <c r="H38" s="4">
        <f>G38*1.025</f>
        <v>8.8305031249999981</v>
      </c>
      <c r="I38" s="14"/>
      <c r="J38" s="10">
        <f t="shared" ref="J38" si="13">RATE(2,,-D38,F38)</f>
        <v>2.4999999999999911E-2</v>
      </c>
      <c r="K38" s="10">
        <f>RATE(2,,-F38,H38)</f>
        <v>2.4999999999999887E-2</v>
      </c>
      <c r="L38" s="16" t="s">
        <v>50</v>
      </c>
    </row>
    <row r="39" spans="1:12" x14ac:dyDescent="0.25">
      <c r="A39" s="1" t="s">
        <v>25</v>
      </c>
      <c r="B39" s="8"/>
      <c r="C39" s="8"/>
      <c r="D39" s="31">
        <v>0</v>
      </c>
      <c r="E39" s="31">
        <v>0.93</v>
      </c>
      <c r="F39" s="31">
        <v>2.77</v>
      </c>
      <c r="G39" s="31">
        <v>0</v>
      </c>
      <c r="H39" s="31">
        <v>0</v>
      </c>
      <c r="I39" s="14"/>
      <c r="J39" s="10"/>
      <c r="K39" s="10"/>
      <c r="L39" s="16" t="str">
        <f>_xlfn.CONCAT("Total Additional FC usage = $",SUM(D39:G39), "M")</f>
        <v>Total Additional FC usage = $3.7M</v>
      </c>
    </row>
    <row r="40" spans="1:12" x14ac:dyDescent="0.25">
      <c r="A40" s="1"/>
      <c r="B40" s="8"/>
      <c r="C40" s="8"/>
      <c r="D40" s="4"/>
      <c r="E40" s="4"/>
      <c r="F40" s="4"/>
      <c r="G40" s="4"/>
      <c r="H40" s="4"/>
      <c r="I40" s="14"/>
      <c r="J40" s="14"/>
      <c r="K40" s="14"/>
    </row>
    <row r="41" spans="1:12" x14ac:dyDescent="0.25">
      <c r="A41" s="17" t="s">
        <v>18</v>
      </c>
      <c r="B41" s="36"/>
      <c r="C41" s="36"/>
      <c r="D41" s="36">
        <f>D35+SUM(D38:D39)</f>
        <v>0.748991999999987</v>
      </c>
      <c r="E41" s="36">
        <f>E35+SUM(E38:E39)</f>
        <v>5.6713200000082509E-3</v>
      </c>
      <c r="F41" s="36">
        <f>F35+SUM(F38:F39)</f>
        <v>1.0263871799979896E-2</v>
      </c>
      <c r="G41" s="36">
        <f>G35+SUM(G38:G39)</f>
        <v>-4.7248413415590065</v>
      </c>
      <c r="H41" s="36">
        <f>H35+SUM(H38:H39)</f>
        <v>-6.8429994887194514</v>
      </c>
      <c r="I41" s="37"/>
      <c r="J41" s="37"/>
      <c r="K41" s="37"/>
      <c r="L41" s="41" t="s">
        <v>56</v>
      </c>
    </row>
    <row r="42" spans="1:12" x14ac:dyDescent="0.25">
      <c r="A42" s="1"/>
      <c r="B42" s="7"/>
      <c r="C42" s="3"/>
      <c r="D42" s="3"/>
      <c r="E42" s="3"/>
      <c r="F42" s="3"/>
      <c r="G42" s="3"/>
      <c r="H42" s="3"/>
      <c r="I42" s="3"/>
    </row>
    <row r="43" spans="1:12" x14ac:dyDescent="0.25">
      <c r="A43" s="1"/>
      <c r="B43" s="7"/>
      <c r="C43" s="3"/>
      <c r="D43" s="3"/>
      <c r="E43" s="3"/>
      <c r="F43" s="3"/>
      <c r="G43" s="3"/>
      <c r="H43" s="3"/>
      <c r="I43" s="3"/>
    </row>
    <row r="44" spans="1:12" x14ac:dyDescent="0.25">
      <c r="A44" s="1"/>
      <c r="B44" s="7"/>
      <c r="C44" s="3"/>
      <c r="D44" s="3"/>
      <c r="E44" s="3"/>
      <c r="F44" s="3"/>
      <c r="G44" s="3"/>
      <c r="H44" s="3"/>
      <c r="I44" s="3"/>
    </row>
    <row r="45" spans="1:12" x14ac:dyDescent="0.25">
      <c r="A45" s="1"/>
      <c r="B45" s="7"/>
      <c r="C45" s="3"/>
      <c r="D45" s="3"/>
      <c r="E45" s="3"/>
      <c r="F45" s="3"/>
      <c r="G45" s="3"/>
      <c r="H45" s="3"/>
      <c r="I45" s="3"/>
    </row>
    <row r="46" spans="1:12" ht="31.5" x14ac:dyDescent="0.25">
      <c r="A46" s="42" t="s">
        <v>22</v>
      </c>
      <c r="B46" s="68"/>
      <c r="C46" s="85"/>
      <c r="D46" s="85" t="s">
        <v>0</v>
      </c>
      <c r="E46" s="85" t="s">
        <v>1</v>
      </c>
      <c r="F46" s="85" t="s">
        <v>2</v>
      </c>
      <c r="G46" s="86" t="s">
        <v>30</v>
      </c>
      <c r="H46" s="87" t="s">
        <v>63</v>
      </c>
    </row>
    <row r="47" spans="1:12" x14ac:dyDescent="0.25">
      <c r="A47" s="18" t="s">
        <v>37</v>
      </c>
      <c r="B47" s="93">
        <v>3</v>
      </c>
      <c r="C47" s="68"/>
      <c r="D47" s="68"/>
      <c r="E47" s="68"/>
      <c r="F47" s="68"/>
      <c r="G47" s="68"/>
      <c r="H47" s="43"/>
    </row>
    <row r="48" spans="1:12" x14ac:dyDescent="0.25">
      <c r="A48" s="20" t="s">
        <v>23</v>
      </c>
      <c r="B48" s="83">
        <v>0.03</v>
      </c>
      <c r="C48" s="70"/>
      <c r="D48" s="70"/>
      <c r="E48" s="70"/>
      <c r="F48" s="70"/>
      <c r="G48" s="70"/>
      <c r="H48" s="92"/>
    </row>
    <row r="49" spans="1:12" x14ac:dyDescent="0.25">
      <c r="A49" s="21" t="s">
        <v>58</v>
      </c>
      <c r="B49" s="66"/>
      <c r="C49" s="91"/>
      <c r="D49" s="88">
        <v>1.5</v>
      </c>
      <c r="E49" s="88">
        <v>0</v>
      </c>
      <c r="F49" s="88">
        <v>0</v>
      </c>
      <c r="G49" s="88">
        <v>0</v>
      </c>
      <c r="H49" s="89">
        <v>0</v>
      </c>
    </row>
    <row r="50" spans="1:12" x14ac:dyDescent="0.25">
      <c r="H50" s="81"/>
    </row>
    <row r="51" spans="1:12" x14ac:dyDescent="0.25">
      <c r="A51" s="42" t="s">
        <v>52</v>
      </c>
      <c r="B51" s="29"/>
    </row>
    <row r="52" spans="1:12" x14ac:dyDescent="0.25">
      <c r="A52" s="19" t="s">
        <v>57</v>
      </c>
      <c r="B52" s="38">
        <v>11.77</v>
      </c>
    </row>
    <row r="53" spans="1:12" x14ac:dyDescent="0.25">
      <c r="A53" t="s">
        <v>19</v>
      </c>
      <c r="B53" s="9">
        <f>-B12</f>
        <v>-3</v>
      </c>
    </row>
    <row r="54" spans="1:12" x14ac:dyDescent="0.25">
      <c r="A54" t="s">
        <v>55</v>
      </c>
      <c r="B54" s="3">
        <f>-D80</f>
        <v>-4.1744700000000003</v>
      </c>
    </row>
    <row r="55" spans="1:12" x14ac:dyDescent="0.25">
      <c r="A55" t="s">
        <v>89</v>
      </c>
      <c r="B55" s="9">
        <f>-SUM(D49:H49)</f>
        <v>-1.5</v>
      </c>
    </row>
    <row r="56" spans="1:12" x14ac:dyDescent="0.25">
      <c r="A56" s="22" t="s">
        <v>94</v>
      </c>
      <c r="B56" s="30">
        <f>SUM(B52:B55)</f>
        <v>3.0955299999999992</v>
      </c>
    </row>
    <row r="58" spans="1:12" ht="31.5" x14ac:dyDescent="0.25">
      <c r="A58" s="23" t="s">
        <v>90</v>
      </c>
      <c r="B58" s="24"/>
      <c r="C58" s="24"/>
      <c r="D58" s="27" t="s">
        <v>0</v>
      </c>
      <c r="E58" s="27" t="s">
        <v>1</v>
      </c>
      <c r="F58" s="27" t="s">
        <v>2</v>
      </c>
      <c r="G58" s="24" t="s">
        <v>30</v>
      </c>
      <c r="H58" s="24" t="s">
        <v>63</v>
      </c>
      <c r="I58" s="28"/>
      <c r="J58" s="26"/>
      <c r="K58" s="26"/>
      <c r="L58" s="26" t="s">
        <v>10</v>
      </c>
    </row>
    <row r="59" spans="1:12" x14ac:dyDescent="0.25">
      <c r="A59" s="1" t="s">
        <v>91</v>
      </c>
      <c r="D59" s="55">
        <f>B56</f>
        <v>3.0955299999999992</v>
      </c>
      <c r="E59" s="6"/>
      <c r="F59" s="6"/>
      <c r="G59" s="6"/>
      <c r="H59" s="6"/>
    </row>
    <row r="60" spans="1:12" x14ac:dyDescent="0.25">
      <c r="A60" s="1" t="s">
        <v>93</v>
      </c>
      <c r="D60" s="6">
        <f>D59</f>
        <v>3.0955299999999992</v>
      </c>
      <c r="E60" s="6">
        <f>D63</f>
        <v>3.8445219999999862</v>
      </c>
      <c r="F60" s="6">
        <f>E63</f>
        <v>2.9201933199999943</v>
      </c>
      <c r="G60" s="6">
        <f>F63</f>
        <v>0.1604571917999742</v>
      </c>
      <c r="H60" s="6">
        <f>G63</f>
        <v>-4.5643841497590323</v>
      </c>
    </row>
    <row r="61" spans="1:12" x14ac:dyDescent="0.25">
      <c r="A61" s="1" t="s">
        <v>33</v>
      </c>
      <c r="D61" s="55">
        <f>-D39</f>
        <v>0</v>
      </c>
      <c r="E61" s="55">
        <f t="shared" ref="E61:H61" si="14">-E39</f>
        <v>-0.93</v>
      </c>
      <c r="F61" s="55">
        <f t="shared" si="14"/>
        <v>-2.77</v>
      </c>
      <c r="G61" s="55">
        <f t="shared" si="14"/>
        <v>0</v>
      </c>
      <c r="H61" s="55">
        <f t="shared" si="14"/>
        <v>0</v>
      </c>
    </row>
    <row r="62" spans="1:12" x14ac:dyDescent="0.25">
      <c r="A62" s="1" t="s">
        <v>88</v>
      </c>
      <c r="C62" s="3"/>
      <c r="D62" s="55">
        <f>D41</f>
        <v>0.748991999999987</v>
      </c>
      <c r="E62" s="55">
        <f>E41</f>
        <v>5.6713200000082509E-3</v>
      </c>
      <c r="F62" s="55">
        <f>F41</f>
        <v>1.0263871799979896E-2</v>
      </c>
      <c r="G62" s="55">
        <f>G41</f>
        <v>-4.7248413415590065</v>
      </c>
      <c r="H62" s="55">
        <f>H41</f>
        <v>-6.8429994887194514</v>
      </c>
    </row>
    <row r="63" spans="1:12" x14ac:dyDescent="0.25">
      <c r="A63" s="17" t="s">
        <v>92</v>
      </c>
      <c r="B63" s="57"/>
      <c r="C63" s="57"/>
      <c r="D63" s="58">
        <f>SUM(D60:D62)</f>
        <v>3.8445219999999862</v>
      </c>
      <c r="E63" s="58">
        <f>SUM(E60:E62)</f>
        <v>2.9201933199999943</v>
      </c>
      <c r="F63" s="58">
        <f>SUM(F60:F62)</f>
        <v>0.1604571917999742</v>
      </c>
      <c r="G63" s="58">
        <f>SUM(G60:G62)</f>
        <v>-4.5643841497590323</v>
      </c>
      <c r="H63" s="58">
        <f>SUM(H60:H62)</f>
        <v>-11.407383638478484</v>
      </c>
      <c r="I63" s="56"/>
      <c r="J63" s="56"/>
      <c r="K63" s="56"/>
      <c r="L63" s="41" t="s">
        <v>95</v>
      </c>
    </row>
    <row r="64" spans="1:12" x14ac:dyDescent="0.25">
      <c r="A64" s="39"/>
      <c r="B64" s="51"/>
      <c r="C64" s="51"/>
    </row>
    <row r="65" spans="1:12" x14ac:dyDescent="0.25">
      <c r="A65" s="39"/>
      <c r="B65" s="51"/>
      <c r="C65" s="51"/>
    </row>
    <row r="66" spans="1:12" x14ac:dyDescent="0.25">
      <c r="A66" s="39"/>
      <c r="B66" s="51"/>
      <c r="C66" s="51"/>
    </row>
    <row r="67" spans="1:12" x14ac:dyDescent="0.25">
      <c r="A67" s="39"/>
      <c r="B67" s="51"/>
      <c r="C67" s="51"/>
    </row>
    <row r="68" spans="1:12" x14ac:dyDescent="0.25">
      <c r="A68" s="39"/>
      <c r="B68" s="51"/>
      <c r="C68" s="51"/>
    </row>
    <row r="70" spans="1:12" ht="31.5" x14ac:dyDescent="0.25">
      <c r="A70" s="23" t="s">
        <v>6</v>
      </c>
      <c r="B70" s="24"/>
      <c r="C70" s="24"/>
      <c r="D70" s="27" t="s">
        <v>0</v>
      </c>
      <c r="E70" s="27" t="s">
        <v>1</v>
      </c>
      <c r="F70" s="27" t="s">
        <v>2</v>
      </c>
      <c r="G70" s="24" t="s">
        <v>30</v>
      </c>
      <c r="H70" s="24" t="s">
        <v>63</v>
      </c>
      <c r="I70" s="28"/>
      <c r="J70" s="26"/>
      <c r="K70" s="26"/>
      <c r="L70" s="26" t="s">
        <v>10</v>
      </c>
    </row>
    <row r="71" spans="1:12" x14ac:dyDescent="0.25">
      <c r="A71" s="1" t="s">
        <v>87</v>
      </c>
      <c r="E71" s="55">
        <f>$B47</f>
        <v>3</v>
      </c>
      <c r="F71" s="55">
        <f>$B47</f>
        <v>3</v>
      </c>
      <c r="G71" s="55">
        <f>$B47</f>
        <v>3</v>
      </c>
      <c r="H71" s="55">
        <f>$B47</f>
        <v>3</v>
      </c>
      <c r="I71" s="10"/>
      <c r="J71" s="16"/>
      <c r="K71" s="16"/>
      <c r="L71" s="16"/>
    </row>
    <row r="72" spans="1:12" x14ac:dyDescent="0.25">
      <c r="A72" s="1" t="s">
        <v>88</v>
      </c>
      <c r="C72" s="3"/>
      <c r="E72" s="6">
        <f>D41</f>
        <v>0.748991999999987</v>
      </c>
      <c r="F72" s="6">
        <f>E41</f>
        <v>5.6713200000082509E-3</v>
      </c>
      <c r="G72" s="6">
        <f>F41</f>
        <v>1.0263871799979896E-2</v>
      </c>
      <c r="H72" s="6">
        <f>G41</f>
        <v>-4.7248413415590065</v>
      </c>
      <c r="L72" s="16"/>
    </row>
    <row r="73" spans="1:12" x14ac:dyDescent="0.25">
      <c r="A73" s="1" t="s">
        <v>86</v>
      </c>
      <c r="C73" s="3"/>
      <c r="D73" s="55">
        <f>B52</f>
        <v>11.77</v>
      </c>
      <c r="E73" s="3">
        <f>D78+E71+E72</f>
        <v>11.018991999999987</v>
      </c>
      <c r="F73" s="3">
        <f>E78+F71+F72</f>
        <v>10.094663319999995</v>
      </c>
      <c r="G73" s="3">
        <f>F78+G71+G72</f>
        <v>7.3349271917999737</v>
      </c>
      <c r="H73" s="3">
        <f>G78+H71+H72</f>
        <v>2.6100858502409672</v>
      </c>
      <c r="L73" s="16" t="s">
        <v>85</v>
      </c>
    </row>
    <row r="74" spans="1:12" x14ac:dyDescent="0.25">
      <c r="A74" s="1" t="s">
        <v>58</v>
      </c>
      <c r="C74" s="3"/>
      <c r="D74" s="55">
        <f>-D49</f>
        <v>-1.5</v>
      </c>
      <c r="E74" s="55">
        <f>-E49</f>
        <v>0</v>
      </c>
      <c r="F74" s="55">
        <f>-F49</f>
        <v>0</v>
      </c>
      <c r="G74" s="55">
        <f>-G49</f>
        <v>0</v>
      </c>
      <c r="H74" s="55">
        <f>-H49</f>
        <v>0</v>
      </c>
      <c r="L74" s="16" t="s">
        <v>32</v>
      </c>
    </row>
    <row r="75" spans="1:12" x14ac:dyDescent="0.25">
      <c r="A75" s="1" t="s">
        <v>36</v>
      </c>
      <c r="C75" s="3"/>
      <c r="D75" s="3">
        <f>-D18</f>
        <v>-0.55000000000000004</v>
      </c>
      <c r="E75" s="3">
        <f t="shared" ref="E75:H76" si="15">-E18</f>
        <v>-0.55000000000000004</v>
      </c>
      <c r="F75" s="3">
        <f t="shared" si="15"/>
        <v>-0.55000000000000004</v>
      </c>
      <c r="G75" s="3">
        <f t="shared" si="15"/>
        <v>-0.55000000000000004</v>
      </c>
      <c r="H75" s="3">
        <f t="shared" si="15"/>
        <v>-0.55000000000000004</v>
      </c>
    </row>
    <row r="76" spans="1:12" x14ac:dyDescent="0.25">
      <c r="A76" s="1" t="s">
        <v>35</v>
      </c>
      <c r="C76" s="3"/>
      <c r="D76" s="3">
        <f>-D19</f>
        <v>-2.4500000000000002</v>
      </c>
      <c r="E76" s="3">
        <f t="shared" si="15"/>
        <v>-2.4500000000000002</v>
      </c>
      <c r="F76" s="3">
        <f t="shared" si="15"/>
        <v>-2.4500000000000002</v>
      </c>
      <c r="G76" s="3">
        <f t="shared" si="15"/>
        <v>-2.4500000000000002</v>
      </c>
      <c r="H76" s="3">
        <f t="shared" si="15"/>
        <v>-2.4500000000000002</v>
      </c>
    </row>
    <row r="77" spans="1:12" x14ac:dyDescent="0.25">
      <c r="A77" s="1" t="s">
        <v>33</v>
      </c>
      <c r="D77" s="55">
        <f>-D39</f>
        <v>0</v>
      </c>
      <c r="E77" s="55">
        <f>-E39</f>
        <v>-0.93</v>
      </c>
      <c r="F77" s="55">
        <f>-F39</f>
        <v>-2.77</v>
      </c>
      <c r="G77" s="55">
        <f>-G39</f>
        <v>0</v>
      </c>
      <c r="H77" s="55">
        <f>-H39</f>
        <v>0</v>
      </c>
    </row>
    <row r="78" spans="1:12" x14ac:dyDescent="0.25">
      <c r="A78" s="17" t="s">
        <v>34</v>
      </c>
      <c r="B78" s="57"/>
      <c r="C78" s="57"/>
      <c r="D78" s="58">
        <f>SUM(D73:D77)</f>
        <v>7.2699999999999987</v>
      </c>
      <c r="E78" s="58">
        <f>SUM(E73:E77)</f>
        <v>7.0889919999999869</v>
      </c>
      <c r="F78" s="58">
        <f>SUM(F73:F77)</f>
        <v>4.3246633199999938</v>
      </c>
      <c r="G78" s="58">
        <f>SUM(G73:G77)</f>
        <v>4.3349271917999737</v>
      </c>
      <c r="H78" s="58">
        <f>SUM(H73:H77)</f>
        <v>-0.38991414975903282</v>
      </c>
      <c r="I78" s="56"/>
      <c r="J78" s="56"/>
      <c r="K78" s="56"/>
      <c r="L78" s="41" t="s">
        <v>54</v>
      </c>
    </row>
    <row r="79" spans="1:12" x14ac:dyDescent="0.25">
      <c r="I79" s="19"/>
      <c r="J79" s="19"/>
      <c r="K79" s="19"/>
    </row>
    <row r="80" spans="1:12" x14ac:dyDescent="0.25">
      <c r="A80" s="39" t="s">
        <v>53</v>
      </c>
      <c r="C80" s="39"/>
      <c r="D80" s="40">
        <f>$B$48*C20</f>
        <v>4.1744700000000003</v>
      </c>
      <c r="E80" s="40">
        <f>$B$48*D20</f>
        <v>4.0192800000000002</v>
      </c>
      <c r="F80" s="40">
        <f>$B$48*E20</f>
        <v>4.1340000000000003</v>
      </c>
      <c r="G80" s="40">
        <f>$B$48*F20</f>
        <v>4.25169</v>
      </c>
      <c r="H80" s="40">
        <f>$B$48*G20</f>
        <v>4.3734135542621875</v>
      </c>
    </row>
    <row r="81" spans="12:12" x14ac:dyDescent="0.25">
      <c r="L81" s="51"/>
    </row>
  </sheetData>
  <conditionalFormatting sqref="D41">
    <cfRule type="expression" dxfId="109" priority="21">
      <formula>$D$41&lt;0</formula>
    </cfRule>
  </conditionalFormatting>
  <conditionalFormatting sqref="D63">
    <cfRule type="expression" dxfId="108" priority="1">
      <formula>$D$63&lt;0</formula>
    </cfRule>
    <cfRule type="expression" dxfId="107" priority="10">
      <formula>$D$51&lt;0</formula>
    </cfRule>
  </conditionalFormatting>
  <conditionalFormatting sqref="D78">
    <cfRule type="expression" dxfId="106" priority="17">
      <formula>$D$78&lt;$D$80</formula>
    </cfRule>
  </conditionalFormatting>
  <conditionalFormatting sqref="D63:H63">
    <cfRule type="expression" dxfId="105" priority="11">
      <formula>#REF!&lt;#REF!</formula>
    </cfRule>
  </conditionalFormatting>
  <conditionalFormatting sqref="E41">
    <cfRule type="expression" dxfId="104" priority="20">
      <formula>$E$41&lt;0</formula>
    </cfRule>
  </conditionalFormatting>
  <conditionalFormatting sqref="E63">
    <cfRule type="expression" dxfId="103" priority="2">
      <formula>$E$63&lt;0</formula>
    </cfRule>
    <cfRule type="expression" dxfId="102" priority="9">
      <formula>$E$51&lt;0</formula>
    </cfRule>
  </conditionalFormatting>
  <conditionalFormatting sqref="E78">
    <cfRule type="expression" dxfId="101" priority="16">
      <formula>$E$78&lt;$E$80</formula>
    </cfRule>
  </conditionalFormatting>
  <conditionalFormatting sqref="F41">
    <cfRule type="expression" dxfId="100" priority="19">
      <formula>$F$41&lt;0</formula>
    </cfRule>
  </conditionalFormatting>
  <conditionalFormatting sqref="F63">
    <cfRule type="expression" dxfId="99" priority="3">
      <formula>$F$63&lt;0</formula>
    </cfRule>
    <cfRule type="expression" dxfId="98" priority="8">
      <formula>$F$51&lt;0</formula>
    </cfRule>
  </conditionalFormatting>
  <conditionalFormatting sqref="F78">
    <cfRule type="expression" dxfId="97" priority="15">
      <formula>$F$78&lt;$F$80</formula>
    </cfRule>
  </conditionalFormatting>
  <conditionalFormatting sqref="G63">
    <cfRule type="expression" dxfId="96" priority="4">
      <formula>$G$63&lt;0</formula>
    </cfRule>
    <cfRule type="expression" dxfId="95" priority="7">
      <formula>$G$51&lt;0</formula>
    </cfRule>
  </conditionalFormatting>
  <conditionalFormatting sqref="G78">
    <cfRule type="expression" dxfId="94" priority="14">
      <formula>$G$78&lt;$G$80</formula>
    </cfRule>
  </conditionalFormatting>
  <conditionalFormatting sqref="G41:H41">
    <cfRule type="expression" dxfId="93" priority="18">
      <formula>$G$41&lt;0</formula>
    </cfRule>
  </conditionalFormatting>
  <conditionalFormatting sqref="H63">
    <cfRule type="expression" dxfId="92" priority="5">
      <formula>$H$63&lt;0</formula>
    </cfRule>
    <cfRule type="expression" dxfId="91" priority="6">
      <formula>$H$51&lt;0</formula>
    </cfRule>
  </conditionalFormatting>
  <conditionalFormatting sqref="H78">
    <cfRule type="expression" dxfId="90" priority="13">
      <formula>$H$78&lt;$H$80</formula>
    </cfRule>
  </conditionalFormatting>
  <pageMargins left="0.7" right="0.7" top="0.75" bottom="0.75" header="0.3" footer="0.3"/>
  <pageSetup scale="44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8743D-046E-B64F-8C90-DB7F86E6F19F}">
  <sheetPr>
    <pageSetUpPr fitToPage="1"/>
  </sheetPr>
  <dimension ref="A1:L80"/>
  <sheetViews>
    <sheetView zoomScaleNormal="100" workbookViewId="0">
      <selection activeCell="A2" sqref="A2"/>
    </sheetView>
  </sheetViews>
  <sheetFormatPr defaultColWidth="11" defaultRowHeight="15.75" x14ac:dyDescent="0.25"/>
  <cols>
    <col min="1" max="1" width="55.125" customWidth="1"/>
    <col min="2" max="2" width="8.375" customWidth="1"/>
    <col min="3" max="8" width="9.375" customWidth="1"/>
    <col min="9" max="11" width="8.375" customWidth="1"/>
    <col min="12" max="12" width="52" customWidth="1"/>
  </cols>
  <sheetData>
    <row r="1" spans="1:12" s="1" customFormat="1" ht="18.75" x14ac:dyDescent="0.3">
      <c r="A1" s="44" t="s">
        <v>98</v>
      </c>
    </row>
    <row r="2" spans="1:12" ht="12.95" customHeight="1" x14ac:dyDescent="0.25">
      <c r="A2" s="33" t="s">
        <v>21</v>
      </c>
    </row>
    <row r="3" spans="1:12" ht="12.95" customHeight="1" x14ac:dyDescent="0.25">
      <c r="A3" s="33" t="s">
        <v>29</v>
      </c>
    </row>
    <row r="4" spans="1:12" ht="12.95" customHeight="1" x14ac:dyDescent="0.25">
      <c r="A4" s="33" t="s">
        <v>59</v>
      </c>
    </row>
    <row r="6" spans="1:12" x14ac:dyDescent="0.25">
      <c r="A6" s="42" t="s">
        <v>20</v>
      </c>
      <c r="B6" s="62"/>
      <c r="C6" s="62"/>
      <c r="D6" s="62"/>
      <c r="E6" s="62" t="s">
        <v>65</v>
      </c>
      <c r="F6" s="62" t="s">
        <v>66</v>
      </c>
      <c r="G6" s="62" t="s">
        <v>67</v>
      </c>
      <c r="H6" s="60" t="s">
        <v>68</v>
      </c>
    </row>
    <row r="7" spans="1:12" x14ac:dyDescent="0.25">
      <c r="A7" s="18" t="s">
        <v>78</v>
      </c>
      <c r="B7" s="68"/>
      <c r="C7" s="69"/>
      <c r="D7" s="68"/>
      <c r="E7" s="64">
        <v>0.05</v>
      </c>
      <c r="F7" s="64">
        <v>4.7500000000000001E-2</v>
      </c>
      <c r="G7" s="64">
        <v>4.4999999999999998E-2</v>
      </c>
      <c r="H7" s="65">
        <v>4.4999999999999998E-2</v>
      </c>
    </row>
    <row r="8" spans="1:12" x14ac:dyDescent="0.25">
      <c r="A8" s="20" t="s">
        <v>79</v>
      </c>
      <c r="B8" s="70"/>
      <c r="C8" s="71"/>
      <c r="D8" s="70"/>
      <c r="E8" s="61">
        <v>6.5000000000000002E-2</v>
      </c>
      <c r="F8" s="61">
        <v>6.25E-2</v>
      </c>
      <c r="G8" s="61">
        <v>0.06</v>
      </c>
      <c r="H8" s="45">
        <v>0.06</v>
      </c>
    </row>
    <row r="9" spans="1:12" x14ac:dyDescent="0.25">
      <c r="A9" s="20" t="s">
        <v>80</v>
      </c>
      <c r="B9" s="70"/>
      <c r="C9" s="71"/>
      <c r="D9" s="70"/>
      <c r="E9" s="61">
        <v>2.5000000000000001E-2</v>
      </c>
      <c r="F9" s="61">
        <v>2.5000000000000001E-2</v>
      </c>
      <c r="G9" s="61">
        <v>2.5000000000000001E-2</v>
      </c>
      <c r="H9" s="45">
        <v>2.5000000000000001E-2</v>
      </c>
    </row>
    <row r="10" spans="1:12" x14ac:dyDescent="0.25">
      <c r="A10" s="20" t="s">
        <v>81</v>
      </c>
      <c r="B10" s="70"/>
      <c r="C10" s="71"/>
      <c r="D10" s="70"/>
      <c r="E10" s="61">
        <v>2.5000000000000001E-2</v>
      </c>
      <c r="F10" s="61">
        <v>2.5000000000000001E-2</v>
      </c>
      <c r="G10" s="61">
        <v>2.5000000000000001E-2</v>
      </c>
      <c r="H10" s="45">
        <v>2.5000000000000001E-2</v>
      </c>
    </row>
    <row r="11" spans="1:12" x14ac:dyDescent="0.25">
      <c r="A11" s="20" t="s">
        <v>82</v>
      </c>
      <c r="B11" s="70"/>
      <c r="C11" s="71"/>
      <c r="D11" s="70"/>
      <c r="E11" s="61">
        <v>3.9E-2</v>
      </c>
      <c r="F11" s="61">
        <v>3.9E-2</v>
      </c>
      <c r="G11" s="61">
        <v>3.5000000000000003E-2</v>
      </c>
      <c r="H11" s="45">
        <v>0.03</v>
      </c>
    </row>
    <row r="12" spans="1:12" x14ac:dyDescent="0.25">
      <c r="A12" s="76" t="s">
        <v>19</v>
      </c>
      <c r="B12" s="77">
        <v>3</v>
      </c>
      <c r="C12" s="78"/>
      <c r="D12" s="78"/>
      <c r="E12" s="78"/>
      <c r="F12" s="78"/>
      <c r="G12" s="78"/>
      <c r="H12" s="54"/>
      <c r="L12" s="16" t="s">
        <v>51</v>
      </c>
    </row>
    <row r="14" spans="1:12" ht="31.5" x14ac:dyDescent="0.25">
      <c r="A14" s="23" t="s">
        <v>43</v>
      </c>
      <c r="B14" s="24" t="s">
        <v>45</v>
      </c>
      <c r="C14" s="24" t="s">
        <v>24</v>
      </c>
      <c r="D14" s="24" t="s">
        <v>0</v>
      </c>
      <c r="E14" s="24" t="s">
        <v>1</v>
      </c>
      <c r="F14" s="24" t="s">
        <v>2</v>
      </c>
      <c r="G14" s="24" t="s">
        <v>30</v>
      </c>
      <c r="H14" s="24" t="s">
        <v>63</v>
      </c>
      <c r="I14" s="25" t="s">
        <v>12</v>
      </c>
      <c r="J14" s="25" t="s">
        <v>11</v>
      </c>
      <c r="K14" s="25" t="s">
        <v>69</v>
      </c>
      <c r="L14" s="26" t="s">
        <v>10</v>
      </c>
    </row>
    <row r="15" spans="1:12" x14ac:dyDescent="0.25">
      <c r="A15" s="1" t="s">
        <v>3</v>
      </c>
      <c r="B15" s="3">
        <v>102.786</v>
      </c>
      <c r="C15" s="3">
        <v>106.319</v>
      </c>
      <c r="D15" s="3">
        <v>109.837</v>
      </c>
      <c r="E15" s="3">
        <v>113.44199999999999</v>
      </c>
      <c r="F15" s="3">
        <v>117.13800000000001</v>
      </c>
      <c r="G15" s="3">
        <f>F15*(1+J15)</f>
        <v>120.9685223734562</v>
      </c>
      <c r="H15" s="3">
        <f>G15*(1+J15)</f>
        <v>124.9243064182193</v>
      </c>
      <c r="I15" s="10">
        <f t="shared" ref="I15:I20" si="0">RATE(3,,-C15,F15)</f>
        <v>3.283030847200185E-2</v>
      </c>
      <c r="J15" s="10">
        <f t="shared" ref="J15:J20" si="1">RATE(2,,-D15,F15)</f>
        <v>3.2700937129336367E-2</v>
      </c>
      <c r="K15" s="10">
        <f t="shared" ref="K15:K20" si="2">RATE(2,,-F15,H15)</f>
        <v>3.2700937131517289E-2</v>
      </c>
      <c r="L15" s="15" t="s">
        <v>46</v>
      </c>
    </row>
    <row r="16" spans="1:12" x14ac:dyDescent="0.25">
      <c r="A16" s="1" t="s">
        <v>4</v>
      </c>
      <c r="B16" s="3">
        <v>12.856999999999999</v>
      </c>
      <c r="C16" s="3">
        <v>14.608000000000001</v>
      </c>
      <c r="D16" s="3">
        <f>14.772</f>
        <v>14.772</v>
      </c>
      <c r="E16" s="3">
        <f>14.963</f>
        <v>14.962999999999999</v>
      </c>
      <c r="F16" s="3">
        <f>15.154</f>
        <v>15.154</v>
      </c>
      <c r="G16" s="3">
        <f t="shared" ref="G16:G19" si="3">F16*(1+J16)</f>
        <v>15.348688594010779</v>
      </c>
      <c r="H16" s="3">
        <f>G16*(1+J16)</f>
        <v>15.54587841862984</v>
      </c>
      <c r="I16" s="10">
        <f t="shared" si="0"/>
        <v>1.2306846811684168E-2</v>
      </c>
      <c r="J16" s="10">
        <f t="shared" si="1"/>
        <v>1.2847340240911843E-2</v>
      </c>
      <c r="K16" s="10">
        <f t="shared" si="2"/>
        <v>1.2847340240912022E-2</v>
      </c>
      <c r="L16" s="15" t="s">
        <v>46</v>
      </c>
    </row>
    <row r="17" spans="1:12" x14ac:dyDescent="0.25">
      <c r="A17" s="1" t="s">
        <v>27</v>
      </c>
      <c r="B17" s="3">
        <f>10.8+0.368+1.388-2.919</f>
        <v>9.6370000000000005</v>
      </c>
      <c r="C17" s="3">
        <v>7.976</v>
      </c>
      <c r="D17" s="3">
        <v>6.367</v>
      </c>
      <c r="E17" s="3">
        <v>6.3949999999999996</v>
      </c>
      <c r="F17" s="3">
        <v>6.431</v>
      </c>
      <c r="G17" s="3">
        <f t="shared" si="3"/>
        <v>6.463240841272639</v>
      </c>
      <c r="H17" s="3">
        <f>G17*(1+J17)</f>
        <v>6.4956433171038173</v>
      </c>
      <c r="I17" s="10">
        <f t="shared" si="0"/>
        <v>-6.9254122226428613E-2</v>
      </c>
      <c r="J17" s="10">
        <f t="shared" si="1"/>
        <v>5.0133480442604936E-3</v>
      </c>
      <c r="K17" s="10">
        <f t="shared" si="2"/>
        <v>5.0133480442603575E-3</v>
      </c>
      <c r="L17" s="15" t="s">
        <v>46</v>
      </c>
    </row>
    <row r="18" spans="1:12" x14ac:dyDescent="0.25">
      <c r="A18" s="1" t="s">
        <v>28</v>
      </c>
      <c r="B18" s="4">
        <v>0.55000000000000004</v>
      </c>
      <c r="C18" s="4">
        <v>0.55000000000000004</v>
      </c>
      <c r="D18" s="4">
        <v>0.55000000000000004</v>
      </c>
      <c r="E18" s="4">
        <v>0.55000000000000004</v>
      </c>
      <c r="F18" s="4">
        <v>0.55000000000000004</v>
      </c>
      <c r="G18" s="4">
        <v>0.55000000000000004</v>
      </c>
      <c r="H18" s="4">
        <v>0.55000000000000004</v>
      </c>
      <c r="I18" s="10">
        <f t="shared" si="0"/>
        <v>4.5713096385530498E-14</v>
      </c>
      <c r="J18" s="10">
        <f t="shared" si="1"/>
        <v>-3.8736184847597014E-17</v>
      </c>
      <c r="K18" s="10">
        <f t="shared" si="2"/>
        <v>-3.8736184847597014E-17</v>
      </c>
      <c r="L18" s="15" t="s">
        <v>46</v>
      </c>
    </row>
    <row r="19" spans="1:12" x14ac:dyDescent="0.25">
      <c r="A19" s="1" t="s">
        <v>26</v>
      </c>
      <c r="B19" s="3">
        <f>5.96-0.55</f>
        <v>5.41</v>
      </c>
      <c r="C19" s="3">
        <f>10.246-C18</f>
        <v>9.6959999999999997</v>
      </c>
      <c r="D19" s="3">
        <f>3-D18</f>
        <v>2.4500000000000002</v>
      </c>
      <c r="E19" s="3">
        <f>3-E18</f>
        <v>2.4500000000000002</v>
      </c>
      <c r="F19" s="3">
        <f>3-F18</f>
        <v>2.4500000000000002</v>
      </c>
      <c r="G19" s="3">
        <f t="shared" si="3"/>
        <v>2.4500000000000002</v>
      </c>
      <c r="H19" s="3">
        <f>G19*(1+J19)</f>
        <v>2.4500000000000002</v>
      </c>
      <c r="I19" s="10">
        <f t="shared" si="0"/>
        <v>-0.36779514619600151</v>
      </c>
      <c r="J19" s="10">
        <f t="shared" si="1"/>
        <v>8.2036374720236702E-17</v>
      </c>
      <c r="K19" s="72">
        <f t="shared" si="2"/>
        <v>8.2036374720236702E-17</v>
      </c>
      <c r="L19" s="16" t="s">
        <v>62</v>
      </c>
    </row>
    <row r="20" spans="1:12" x14ac:dyDescent="0.25">
      <c r="A20" s="2" t="s">
        <v>8</v>
      </c>
      <c r="B20" s="5">
        <f t="shared" ref="B20:G20" si="4">SUM(B15:B19)</f>
        <v>131.24</v>
      </c>
      <c r="C20" s="5">
        <f t="shared" si="4"/>
        <v>139.14900000000003</v>
      </c>
      <c r="D20" s="5">
        <f t="shared" si="4"/>
        <v>133.976</v>
      </c>
      <c r="E20" s="5">
        <f t="shared" si="4"/>
        <v>137.80000000000001</v>
      </c>
      <c r="F20" s="5">
        <f t="shared" si="4"/>
        <v>141.72300000000001</v>
      </c>
      <c r="G20" s="5">
        <f t="shared" si="4"/>
        <v>145.7804518087396</v>
      </c>
      <c r="H20" s="5">
        <f t="shared" ref="H20" si="5">SUM(H15:H19)</f>
        <v>149.96582815395297</v>
      </c>
      <c r="I20" s="11">
        <f t="shared" si="0"/>
        <v>6.1284179876947989E-3</v>
      </c>
      <c r="J20" s="11">
        <f t="shared" si="1"/>
        <v>2.85056097769886E-2</v>
      </c>
      <c r="K20" s="10">
        <f t="shared" si="2"/>
        <v>2.8669792286757746E-2</v>
      </c>
      <c r="L20" s="15"/>
    </row>
    <row r="21" spans="1:12" x14ac:dyDescent="0.25">
      <c r="A21" s="1"/>
      <c r="B21" s="6"/>
      <c r="C21" s="6"/>
      <c r="D21" s="6"/>
      <c r="E21" s="6"/>
      <c r="F21" s="6"/>
      <c r="G21" s="6"/>
      <c r="H21" s="6"/>
      <c r="I21" s="12"/>
      <c r="J21" s="12"/>
      <c r="K21" s="12"/>
    </row>
    <row r="22" spans="1:12" ht="31.5" x14ac:dyDescent="0.25">
      <c r="A22" s="23" t="s">
        <v>42</v>
      </c>
      <c r="B22" s="24" t="s">
        <v>45</v>
      </c>
      <c r="C22" s="24" t="s">
        <v>24</v>
      </c>
      <c r="D22" s="27" t="s">
        <v>0</v>
      </c>
      <c r="E22" s="27" t="s">
        <v>1</v>
      </c>
      <c r="F22" s="27" t="s">
        <v>2</v>
      </c>
      <c r="G22" s="24" t="s">
        <v>30</v>
      </c>
      <c r="H22" s="24" t="s">
        <v>63</v>
      </c>
      <c r="I22" s="28" t="s">
        <v>9</v>
      </c>
      <c r="J22" s="28" t="s">
        <v>11</v>
      </c>
      <c r="K22" s="25" t="s">
        <v>69</v>
      </c>
      <c r="L22" s="26" t="s">
        <v>10</v>
      </c>
    </row>
    <row r="23" spans="1:12" x14ac:dyDescent="0.25">
      <c r="A23" s="1" t="s">
        <v>38</v>
      </c>
      <c r="B23" s="3">
        <v>45.351999999999997</v>
      </c>
      <c r="C23" s="3">
        <v>48.195</v>
      </c>
      <c r="D23" s="32">
        <f>50.325+0.089</f>
        <v>50.414000000000001</v>
      </c>
      <c r="E23" s="9">
        <f>D23*(1+E7)</f>
        <v>52.934700000000007</v>
      </c>
      <c r="F23" s="9">
        <f>E23*(1+F7)</f>
        <v>55.449098250000013</v>
      </c>
      <c r="G23" s="9">
        <f>F23*(1+G7)</f>
        <v>57.944307671250009</v>
      </c>
      <c r="H23" s="9">
        <f>G23*(1+H7)</f>
        <v>60.551801516456258</v>
      </c>
      <c r="I23" s="10">
        <f t="shared" ref="I23:I33" si="6">RATE(3,,-C23,F23)</f>
        <v>4.7846099343095493E-2</v>
      </c>
      <c r="J23" s="10">
        <f t="shared" ref="J23:J33" si="7">RATE(2,,-D23,F23)</f>
        <v>4.8749255065531308E-2</v>
      </c>
      <c r="K23" s="10">
        <f>RATE(2,,-F23,H23)</f>
        <v>4.5000000000426359E-2</v>
      </c>
      <c r="L23" s="16" t="s">
        <v>83</v>
      </c>
    </row>
    <row r="24" spans="1:12" x14ac:dyDescent="0.25">
      <c r="A24" s="1" t="s">
        <v>39</v>
      </c>
      <c r="B24" s="3">
        <v>7.6669999999999998</v>
      </c>
      <c r="C24" s="3">
        <f>8.677343+1.812087+1.328967</f>
        <v>11.818397000000001</v>
      </c>
      <c r="D24" s="32">
        <f>9.284758+1.938933+1.421995</f>
        <v>12.645686000000001</v>
      </c>
      <c r="E24" s="9">
        <f t="shared" ref="E24:H24" si="8">D24*(1+E8)</f>
        <v>13.467655590000001</v>
      </c>
      <c r="F24" s="9">
        <f t="shared" si="8"/>
        <v>14.309384064375001</v>
      </c>
      <c r="G24" s="9">
        <f t="shared" si="8"/>
        <v>15.167947108237502</v>
      </c>
      <c r="H24" s="9">
        <f t="shared" si="8"/>
        <v>16.078023934731753</v>
      </c>
      <c r="I24" s="10">
        <f>RATE(3,,-C24,F24)</f>
        <v>6.5828809850854653E-2</v>
      </c>
      <c r="J24" s="10">
        <f>RATE(2,,-D24,F24)</f>
        <v>6.3749265569679289E-2</v>
      </c>
      <c r="K24" s="10">
        <f>RATE(2,,-F24,H24)</f>
        <v>6.0000000000033152E-2</v>
      </c>
      <c r="L24" s="16" t="s">
        <v>83</v>
      </c>
    </row>
    <row r="25" spans="1:12" x14ac:dyDescent="0.25">
      <c r="A25" s="1" t="s">
        <v>40</v>
      </c>
      <c r="B25" s="3">
        <v>2.8769999999999998</v>
      </c>
      <c r="C25" s="3">
        <f>2.599608+0.274205</f>
        <v>2.8738129999999997</v>
      </c>
      <c r="D25" s="32">
        <f>2.702262+0.28106+0.305+0.024+0.1</f>
        <v>3.4123220000000005</v>
      </c>
      <c r="E25" s="9">
        <f t="shared" ref="E25:H25" si="9">D25*(1+E9)</f>
        <v>3.4976300500000002</v>
      </c>
      <c r="F25" s="9">
        <f t="shared" si="9"/>
        <v>3.5850708012499997</v>
      </c>
      <c r="G25" s="9">
        <f t="shared" si="9"/>
        <v>3.6746975712812495</v>
      </c>
      <c r="H25" s="9">
        <f t="shared" si="9"/>
        <v>3.7665650105632804</v>
      </c>
      <c r="I25" s="10">
        <f>RATE(3,,-C25,F25)</f>
        <v>7.6497628208493013E-2</v>
      </c>
      <c r="J25" s="10">
        <f>RATE(2,,-D25,F25)</f>
        <v>2.4999999999999887E-2</v>
      </c>
      <c r="K25" s="10">
        <f>RATE(2,,-F25,H25)</f>
        <v>2.4999999999999974E-2</v>
      </c>
      <c r="L25" s="16" t="s">
        <v>83</v>
      </c>
    </row>
    <row r="26" spans="1:12" x14ac:dyDescent="0.25">
      <c r="A26" s="1" t="s">
        <v>44</v>
      </c>
      <c r="B26" s="3">
        <v>0</v>
      </c>
      <c r="C26" s="3">
        <v>0.6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10"/>
      <c r="J26" s="10"/>
      <c r="K26" s="10"/>
      <c r="L26" s="16" t="s">
        <v>41</v>
      </c>
    </row>
    <row r="27" spans="1:12" x14ac:dyDescent="0.25">
      <c r="A27" s="1" t="s">
        <v>7</v>
      </c>
      <c r="B27" s="3">
        <v>32.473999999999997</v>
      </c>
      <c r="C27" s="3">
        <v>33.305</v>
      </c>
      <c r="D27" s="32">
        <v>33.375</v>
      </c>
      <c r="E27" s="9">
        <f>D27*(1+E10)</f>
        <v>34.209374999999994</v>
      </c>
      <c r="F27" s="9">
        <f>E27*(1+F10)</f>
        <v>35.064609374999989</v>
      </c>
      <c r="G27" s="9">
        <f>F27*(1+G10)</f>
        <v>35.941224609374984</v>
      </c>
      <c r="H27" s="9">
        <f>G27*(1+H10)</f>
        <v>36.839755224609355</v>
      </c>
      <c r="I27" s="10">
        <f t="shared" si="6"/>
        <v>1.7309708338030697E-2</v>
      </c>
      <c r="J27" s="10">
        <f t="shared" si="7"/>
        <v>2.4999999999999932E-2</v>
      </c>
      <c r="K27" s="10">
        <f t="shared" ref="K27:K33" si="10">RATE(2,,-F27,H27)</f>
        <v>2.4999999999999922E-2</v>
      </c>
      <c r="L27" s="16"/>
    </row>
    <row r="28" spans="1:12" x14ac:dyDescent="0.25">
      <c r="A28" s="1" t="s">
        <v>13</v>
      </c>
      <c r="B28" s="3">
        <v>6.3209999999999997</v>
      </c>
      <c r="C28" s="3">
        <v>7.5190000000000001</v>
      </c>
      <c r="D28" s="32">
        <v>7.5750000000000002</v>
      </c>
      <c r="E28" s="3">
        <v>7.7450000000000001</v>
      </c>
      <c r="F28" s="3">
        <v>7.9180000000000001</v>
      </c>
      <c r="G28" s="3">
        <f t="shared" ref="G28:G31" si="11">F28*(1+J28)</f>
        <v>8.0952809839340887</v>
      </c>
      <c r="H28" s="3">
        <f>G28*(1+J28)</f>
        <v>8.2765312211221111</v>
      </c>
      <c r="I28" s="10">
        <f t="shared" si="6"/>
        <v>1.738454854762286E-2</v>
      </c>
      <c r="J28" s="10">
        <f t="shared" si="7"/>
        <v>2.2389616561516768E-2</v>
      </c>
      <c r="K28" s="10">
        <f t="shared" si="10"/>
        <v>2.2389616561516657E-2</v>
      </c>
      <c r="L28" s="16" t="s">
        <v>47</v>
      </c>
    </row>
    <row r="29" spans="1:12" x14ac:dyDescent="0.25">
      <c r="A29" s="1" t="s">
        <v>14</v>
      </c>
      <c r="B29" s="3">
        <v>25.477</v>
      </c>
      <c r="C29" s="3">
        <v>26.213999999999999</v>
      </c>
      <c r="D29" s="32">
        <v>26.402000000000001</v>
      </c>
      <c r="E29" s="9">
        <f>D29*(1+E11)</f>
        <v>27.431677999999998</v>
      </c>
      <c r="F29" s="9">
        <f>E29*(1+F11)</f>
        <v>28.501513441999997</v>
      </c>
      <c r="G29" s="9">
        <f>F29*(1+G11)</f>
        <v>29.499066412469993</v>
      </c>
      <c r="H29" s="9">
        <f>G29*(1+H11)</f>
        <v>30.384038404844095</v>
      </c>
      <c r="I29" s="10">
        <f t="shared" si="6"/>
        <v>2.8280363131910055E-2</v>
      </c>
      <c r="J29" s="10">
        <f t="shared" si="7"/>
        <v>3.9000000000983658E-2</v>
      </c>
      <c r="K29" s="10">
        <f t="shared" si="10"/>
        <v>3.2496973363416524E-2</v>
      </c>
      <c r="L29" s="16"/>
    </row>
    <row r="30" spans="1:12" x14ac:dyDescent="0.25">
      <c r="A30" s="1" t="s">
        <v>15</v>
      </c>
      <c r="B30" s="3">
        <v>1.2490000000000001</v>
      </c>
      <c r="C30" s="3">
        <v>3.3740000000000001</v>
      </c>
      <c r="D30" s="32">
        <v>1.5609999999999999</v>
      </c>
      <c r="E30" s="3">
        <v>1.601</v>
      </c>
      <c r="F30" s="3">
        <v>1.6439999999999999</v>
      </c>
      <c r="G30" s="3">
        <f t="shared" si="11"/>
        <v>1.6871405677428037</v>
      </c>
      <c r="H30" s="3">
        <f>G30*(1+J30)</f>
        <v>1.731413196668802</v>
      </c>
      <c r="I30" s="10">
        <f t="shared" si="6"/>
        <v>-0.21310114812985417</v>
      </c>
      <c r="J30" s="10">
        <f t="shared" si="7"/>
        <v>2.6241221254747003E-2</v>
      </c>
      <c r="K30" s="10">
        <f t="shared" si="10"/>
        <v>2.6241221254746781E-2</v>
      </c>
      <c r="L30" s="15"/>
    </row>
    <row r="31" spans="1:12" x14ac:dyDescent="0.25">
      <c r="A31" s="1" t="s">
        <v>16</v>
      </c>
      <c r="B31" s="3">
        <v>5.0839999999999996</v>
      </c>
      <c r="C31" s="3">
        <v>5.2480000000000002</v>
      </c>
      <c r="D31" s="32">
        <f>5.842-0.5</f>
        <v>5.3419999999999996</v>
      </c>
      <c r="E31" s="3">
        <f>5.957-0.5</f>
        <v>5.4569999999999999</v>
      </c>
      <c r="F31" s="3">
        <f>6.08-0.5</f>
        <v>5.58</v>
      </c>
      <c r="G31" s="3">
        <f t="shared" si="11"/>
        <v>5.7029472764167242</v>
      </c>
      <c r="H31" s="3">
        <f>G31*(1+J31)</f>
        <v>5.8286035192811703</v>
      </c>
      <c r="I31" s="10">
        <f t="shared" si="6"/>
        <v>2.065771853799413E-2</v>
      </c>
      <c r="J31" s="10">
        <f t="shared" si="7"/>
        <v>2.2033562081850054E-2</v>
      </c>
      <c r="K31" s="10">
        <f t="shared" si="10"/>
        <v>2.2033562081850297E-2</v>
      </c>
      <c r="L31" s="15"/>
    </row>
    <row r="32" spans="1:12" x14ac:dyDescent="0.25">
      <c r="A32" s="1" t="s">
        <v>64</v>
      </c>
      <c r="B32" s="3"/>
      <c r="C32" s="3"/>
      <c r="D32" s="32">
        <v>0.5</v>
      </c>
      <c r="E32" s="32">
        <v>0.5</v>
      </c>
      <c r="F32" s="32">
        <v>0.5</v>
      </c>
      <c r="G32" s="32">
        <v>0.5</v>
      </c>
      <c r="H32" s="32">
        <v>0.5</v>
      </c>
      <c r="I32" s="10"/>
      <c r="J32" s="10">
        <f t="shared" si="7"/>
        <v>7.7404550817594379E-17</v>
      </c>
      <c r="K32" s="72">
        <f t="shared" si="10"/>
        <v>7.7404550817594379E-17</v>
      </c>
      <c r="L32" s="16" t="s">
        <v>48</v>
      </c>
    </row>
    <row r="33" spans="1:12" x14ac:dyDescent="0.25">
      <c r="A33" s="2" t="s">
        <v>5</v>
      </c>
      <c r="B33" s="5">
        <f t="shared" ref="B33:G33" si="12">SUM(B23:B32)</f>
        <v>126.501</v>
      </c>
      <c r="C33" s="5">
        <f t="shared" si="12"/>
        <v>139.14721</v>
      </c>
      <c r="D33" s="5">
        <f t="shared" si="12"/>
        <v>141.22700800000001</v>
      </c>
      <c r="E33" s="5">
        <f t="shared" si="12"/>
        <v>146.84403864000001</v>
      </c>
      <c r="F33" s="5">
        <f t="shared" si="12"/>
        <v>152.55167593262502</v>
      </c>
      <c r="G33" s="5">
        <f t="shared" si="12"/>
        <v>158.21261220070735</v>
      </c>
      <c r="H33" s="5">
        <f t="shared" ref="H33" si="13">SUM(H23:H32)</f>
        <v>163.95673202827683</v>
      </c>
      <c r="I33" s="11">
        <f t="shared" si="6"/>
        <v>3.1131751196424549E-2</v>
      </c>
      <c r="J33" s="11">
        <f t="shared" si="7"/>
        <v>3.932078435984776E-2</v>
      </c>
      <c r="K33" s="10">
        <f t="shared" si="10"/>
        <v>3.6707248634618155E-2</v>
      </c>
      <c r="L33" s="16" t="s">
        <v>61</v>
      </c>
    </row>
    <row r="34" spans="1:12" x14ac:dyDescent="0.25">
      <c r="A34" s="1"/>
      <c r="B34" s="3"/>
      <c r="C34" s="3"/>
      <c r="D34" s="3"/>
      <c r="E34" s="80"/>
      <c r="F34" s="3"/>
      <c r="G34" s="3"/>
      <c r="H34" s="3"/>
      <c r="I34" s="10"/>
      <c r="J34" s="10"/>
      <c r="K34" s="10"/>
    </row>
    <row r="35" spans="1:12" x14ac:dyDescent="0.25">
      <c r="A35" s="17" t="s">
        <v>17</v>
      </c>
      <c r="B35" s="34">
        <f t="shared" ref="B35:H35" si="14">B20-B33</f>
        <v>4.7390000000000043</v>
      </c>
      <c r="C35" s="34">
        <f t="shared" si="14"/>
        <v>1.790000000028158E-3</v>
      </c>
      <c r="D35" s="34">
        <f t="shared" si="14"/>
        <v>-7.251008000000013</v>
      </c>
      <c r="E35" s="34">
        <f t="shared" si="14"/>
        <v>-9.0440386399999966</v>
      </c>
      <c r="F35" s="34">
        <f t="shared" si="14"/>
        <v>-10.828675932625003</v>
      </c>
      <c r="G35" s="34">
        <f t="shared" si="14"/>
        <v>-12.432160391967756</v>
      </c>
      <c r="H35" s="34">
        <f t="shared" si="14"/>
        <v>-13.990903874323863</v>
      </c>
      <c r="I35" s="35"/>
      <c r="J35" s="35"/>
      <c r="K35" s="35"/>
      <c r="L35" s="17"/>
    </row>
    <row r="36" spans="1:12" x14ac:dyDescent="0.25">
      <c r="A36" s="1"/>
      <c r="B36" s="7"/>
      <c r="C36" s="7"/>
      <c r="D36" s="7"/>
      <c r="E36" s="7"/>
      <c r="F36" s="7"/>
      <c r="G36" s="7"/>
      <c r="H36" s="7"/>
      <c r="I36" s="13"/>
      <c r="J36" s="13"/>
      <c r="K36" s="13"/>
    </row>
    <row r="37" spans="1:12" ht="31.5" x14ac:dyDescent="0.25">
      <c r="A37" s="23" t="s">
        <v>31</v>
      </c>
      <c r="B37" s="27"/>
      <c r="C37" s="27"/>
      <c r="D37" s="27" t="s">
        <v>0</v>
      </c>
      <c r="E37" s="27" t="s">
        <v>1</v>
      </c>
      <c r="F37" s="27" t="s">
        <v>2</v>
      </c>
      <c r="G37" s="24" t="s">
        <v>30</v>
      </c>
      <c r="H37" s="24" t="s">
        <v>63</v>
      </c>
      <c r="I37" s="28"/>
      <c r="J37" s="28" t="s">
        <v>11</v>
      </c>
      <c r="K37" s="25" t="s">
        <v>69</v>
      </c>
      <c r="L37" s="26" t="s">
        <v>10</v>
      </c>
    </row>
    <row r="38" spans="1:12" x14ac:dyDescent="0.25">
      <c r="A38" s="1" t="s">
        <v>49</v>
      </c>
      <c r="B38" s="8"/>
      <c r="C38" s="8"/>
      <c r="D38" s="31">
        <v>7.82</v>
      </c>
      <c r="E38" s="4">
        <f>D38*1.025</f>
        <v>8.0154999999999994</v>
      </c>
      <c r="F38" s="4">
        <f>E38*1.025</f>
        <v>8.2158874999999991</v>
      </c>
      <c r="G38" s="4">
        <f>F38*1.025</f>
        <v>8.4212846874999983</v>
      </c>
      <c r="H38" s="4">
        <f>G38*1.025</f>
        <v>8.6318168046874977</v>
      </c>
      <c r="I38" s="14"/>
      <c r="J38" s="10">
        <f t="shared" ref="J38" si="15">RATE(2,,-D38,F38)</f>
        <v>2.4999999999999908E-2</v>
      </c>
      <c r="K38" s="10">
        <f>RATE(2,,-F38,H38)</f>
        <v>2.5000000000000008E-2</v>
      </c>
      <c r="L38" s="16" t="s">
        <v>50</v>
      </c>
    </row>
    <row r="39" spans="1:12" x14ac:dyDescent="0.25">
      <c r="A39" s="1" t="s">
        <v>25</v>
      </c>
      <c r="B39" s="8"/>
      <c r="C39" s="8"/>
      <c r="D39" s="31">
        <v>0</v>
      </c>
      <c r="E39" s="31">
        <v>1.03</v>
      </c>
      <c r="F39" s="31">
        <v>2.62</v>
      </c>
      <c r="G39" s="31">
        <v>0</v>
      </c>
      <c r="H39" s="31">
        <v>0</v>
      </c>
      <c r="I39" s="14"/>
      <c r="J39" s="10"/>
      <c r="K39" s="10"/>
      <c r="L39" s="16" t="str">
        <f>_xlfn.CONCAT("Total Additional FC usage = $",SUM(D39:G39), "M")</f>
        <v>Total Additional FC usage = $3.65M</v>
      </c>
    </row>
    <row r="40" spans="1:12" x14ac:dyDescent="0.25">
      <c r="A40" s="1"/>
      <c r="B40" s="8"/>
      <c r="C40" s="8"/>
      <c r="D40" s="4"/>
      <c r="E40" s="4"/>
      <c r="F40" s="4"/>
      <c r="G40" s="4"/>
      <c r="H40" s="4"/>
      <c r="I40" s="14"/>
      <c r="J40" s="14"/>
      <c r="K40" s="14"/>
    </row>
    <row r="41" spans="1:12" x14ac:dyDescent="0.25">
      <c r="A41" s="17" t="s">
        <v>18</v>
      </c>
      <c r="B41" s="36"/>
      <c r="C41" s="36"/>
      <c r="D41" s="36">
        <f>D35+SUM(D38:D39)</f>
        <v>0.56899199999998729</v>
      </c>
      <c r="E41" s="36">
        <f>E35+SUM(E38:E39)</f>
        <v>1.4613600000021876E-3</v>
      </c>
      <c r="F41" s="36">
        <f>F35+SUM(F38:F39)</f>
        <v>7.2115673749948428E-3</v>
      </c>
      <c r="G41" s="36">
        <f>G35+SUM(G38:G39)</f>
        <v>-4.0108757044677574</v>
      </c>
      <c r="H41" s="36">
        <f>H35+SUM(H38:H39)</f>
        <v>-5.3590870696363648</v>
      </c>
      <c r="I41" s="37"/>
      <c r="J41" s="37"/>
      <c r="K41" s="37"/>
      <c r="L41" s="41" t="s">
        <v>56</v>
      </c>
    </row>
    <row r="42" spans="1:12" x14ac:dyDescent="0.25">
      <c r="A42" s="1"/>
      <c r="B42" s="7"/>
      <c r="C42" s="3"/>
      <c r="D42" s="3"/>
      <c r="E42" s="3"/>
      <c r="F42" s="3"/>
      <c r="G42" s="3"/>
      <c r="H42" s="3"/>
      <c r="I42" s="3"/>
      <c r="J42" s="7"/>
    </row>
    <row r="43" spans="1:12" x14ac:dyDescent="0.25">
      <c r="A43" s="48"/>
      <c r="B43" s="49"/>
      <c r="C43" s="49"/>
      <c r="D43" s="49"/>
      <c r="E43" s="49"/>
      <c r="F43" s="49"/>
      <c r="G43" s="50"/>
      <c r="H43" s="50"/>
      <c r="I43" s="50"/>
      <c r="J43" s="51"/>
      <c r="K43" s="51"/>
    </row>
    <row r="44" spans="1:12" x14ac:dyDescent="0.25">
      <c r="I44" s="82"/>
    </row>
    <row r="45" spans="1:12" x14ac:dyDescent="0.25">
      <c r="A45" s="39"/>
      <c r="B45" s="51"/>
      <c r="C45" s="51"/>
    </row>
    <row r="46" spans="1:12" ht="31.5" x14ac:dyDescent="0.25">
      <c r="A46" s="42" t="s">
        <v>22</v>
      </c>
      <c r="B46" s="68"/>
      <c r="C46" s="85"/>
      <c r="D46" s="85" t="s">
        <v>0</v>
      </c>
      <c r="E46" s="85" t="s">
        <v>1</v>
      </c>
      <c r="F46" s="85" t="s">
        <v>2</v>
      </c>
      <c r="G46" s="86" t="s">
        <v>30</v>
      </c>
      <c r="H46" s="87" t="s">
        <v>63</v>
      </c>
    </row>
    <row r="47" spans="1:12" x14ac:dyDescent="0.25">
      <c r="A47" s="18" t="s">
        <v>37</v>
      </c>
      <c r="B47" s="93">
        <v>3</v>
      </c>
      <c r="C47" s="68"/>
      <c r="D47" s="68"/>
      <c r="E47" s="68"/>
      <c r="F47" s="68"/>
      <c r="G47" s="68"/>
      <c r="H47" s="43"/>
    </row>
    <row r="48" spans="1:12" x14ac:dyDescent="0.25">
      <c r="A48" s="20" t="s">
        <v>23</v>
      </c>
      <c r="B48" s="83">
        <v>0.03</v>
      </c>
      <c r="C48" s="94"/>
      <c r="D48" s="94"/>
      <c r="E48" s="94"/>
      <c r="F48" s="94"/>
      <c r="G48" s="94"/>
      <c r="H48" s="92"/>
    </row>
    <row r="49" spans="1:12" x14ac:dyDescent="0.25">
      <c r="A49" s="21" t="s">
        <v>58</v>
      </c>
      <c r="B49" s="66"/>
      <c r="C49" s="91"/>
      <c r="D49" s="88">
        <v>1.5</v>
      </c>
      <c r="E49" s="88">
        <v>0</v>
      </c>
      <c r="F49" s="88">
        <v>0</v>
      </c>
      <c r="G49" s="88">
        <v>0</v>
      </c>
      <c r="H49" s="89">
        <v>0</v>
      </c>
    </row>
    <row r="50" spans="1:12" x14ac:dyDescent="0.25">
      <c r="H50" s="81"/>
    </row>
    <row r="51" spans="1:12" x14ac:dyDescent="0.25">
      <c r="A51" s="42" t="s">
        <v>52</v>
      </c>
      <c r="B51" s="29"/>
    </row>
    <row r="52" spans="1:12" x14ac:dyDescent="0.25">
      <c r="A52" s="19" t="s">
        <v>57</v>
      </c>
      <c r="B52" s="38">
        <v>11.77</v>
      </c>
    </row>
    <row r="53" spans="1:12" x14ac:dyDescent="0.25">
      <c r="A53" t="s">
        <v>19</v>
      </c>
      <c r="B53" s="9">
        <f>-B12</f>
        <v>-3</v>
      </c>
    </row>
    <row r="54" spans="1:12" x14ac:dyDescent="0.25">
      <c r="A54" t="s">
        <v>55</v>
      </c>
      <c r="B54" s="3">
        <f>-B48*C20</f>
        <v>-4.1744700000000003</v>
      </c>
    </row>
    <row r="55" spans="1:12" x14ac:dyDescent="0.25">
      <c r="A55" t="s">
        <v>89</v>
      </c>
      <c r="B55" s="9">
        <f>-SUM(D49:H49)</f>
        <v>-1.5</v>
      </c>
    </row>
    <row r="56" spans="1:12" x14ac:dyDescent="0.25">
      <c r="A56" s="22" t="s">
        <v>94</v>
      </c>
      <c r="B56" s="30">
        <f>SUM(B52:B55)</f>
        <v>3.0955299999999992</v>
      </c>
    </row>
    <row r="58" spans="1:12" ht="31.5" x14ac:dyDescent="0.25">
      <c r="A58" s="23" t="s">
        <v>90</v>
      </c>
      <c r="B58" s="24"/>
      <c r="C58" s="24"/>
      <c r="D58" s="27" t="s">
        <v>0</v>
      </c>
      <c r="E58" s="27" t="s">
        <v>1</v>
      </c>
      <c r="F58" s="27" t="s">
        <v>2</v>
      </c>
      <c r="G58" s="24" t="s">
        <v>30</v>
      </c>
      <c r="H58" s="24" t="s">
        <v>63</v>
      </c>
      <c r="I58" s="28"/>
      <c r="J58" s="26"/>
      <c r="K58" s="26"/>
      <c r="L58" s="26" t="s">
        <v>10</v>
      </c>
    </row>
    <row r="59" spans="1:12" x14ac:dyDescent="0.25">
      <c r="A59" s="1" t="s">
        <v>91</v>
      </c>
      <c r="D59" s="55">
        <f>B56</f>
        <v>3.0955299999999992</v>
      </c>
      <c r="E59" s="6"/>
      <c r="F59" s="6"/>
      <c r="G59" s="6"/>
      <c r="H59" s="6"/>
    </row>
    <row r="60" spans="1:12" x14ac:dyDescent="0.25">
      <c r="A60" s="1" t="s">
        <v>93</v>
      </c>
      <c r="D60" s="6">
        <f>D59</f>
        <v>3.0955299999999992</v>
      </c>
      <c r="E60" s="6">
        <f>D63</f>
        <v>3.6645219999999865</v>
      </c>
      <c r="F60" s="6">
        <f>E63</f>
        <v>2.6359833599999885</v>
      </c>
      <c r="G60" s="6">
        <f>F63</f>
        <v>2.3194927374983187E-2</v>
      </c>
      <c r="H60" s="6">
        <f>G63</f>
        <v>-3.9876807770927742</v>
      </c>
    </row>
    <row r="61" spans="1:12" x14ac:dyDescent="0.25">
      <c r="A61" s="1" t="s">
        <v>33</v>
      </c>
      <c r="D61" s="55">
        <f>-D39</f>
        <v>0</v>
      </c>
      <c r="E61" s="55">
        <f>-E39</f>
        <v>-1.03</v>
      </c>
      <c r="F61" s="55">
        <f>-F39</f>
        <v>-2.62</v>
      </c>
      <c r="G61" s="55">
        <f>-G39</f>
        <v>0</v>
      </c>
      <c r="H61" s="55">
        <f>-H39</f>
        <v>0</v>
      </c>
    </row>
    <row r="62" spans="1:12" x14ac:dyDescent="0.25">
      <c r="A62" s="1" t="s">
        <v>88</v>
      </c>
      <c r="C62" s="3"/>
      <c r="D62" s="55">
        <f>D41</f>
        <v>0.56899199999998729</v>
      </c>
      <c r="E62" s="55">
        <f t="shared" ref="E62:H62" si="16">E41</f>
        <v>1.4613600000021876E-3</v>
      </c>
      <c r="F62" s="55">
        <f t="shared" si="16"/>
        <v>7.2115673749948428E-3</v>
      </c>
      <c r="G62" s="55">
        <f t="shared" si="16"/>
        <v>-4.0108757044677574</v>
      </c>
      <c r="H62" s="55">
        <f t="shared" si="16"/>
        <v>-5.3590870696363648</v>
      </c>
    </row>
    <row r="63" spans="1:12" x14ac:dyDescent="0.25">
      <c r="A63" s="17" t="s">
        <v>92</v>
      </c>
      <c r="B63" s="57"/>
      <c r="C63" s="57"/>
      <c r="D63" s="58">
        <f>SUM(D60:D62)</f>
        <v>3.6645219999999865</v>
      </c>
      <c r="E63" s="58">
        <f>SUM(E60:E62)</f>
        <v>2.6359833599999885</v>
      </c>
      <c r="F63" s="58">
        <f>SUM(F60:F62)</f>
        <v>2.3194927374983187E-2</v>
      </c>
      <c r="G63" s="58">
        <f>SUM(G60:G62)</f>
        <v>-3.9876807770927742</v>
      </c>
      <c r="H63" s="58">
        <f>SUM(H60:H62)</f>
        <v>-9.34676784672914</v>
      </c>
      <c r="I63" s="56"/>
      <c r="J63" s="56"/>
      <c r="K63" s="56"/>
      <c r="L63" s="41" t="s">
        <v>95</v>
      </c>
    </row>
    <row r="64" spans="1:12" x14ac:dyDescent="0.25">
      <c r="A64" s="39"/>
      <c r="B64" s="51"/>
      <c r="C64" s="51"/>
    </row>
    <row r="65" spans="1:12" x14ac:dyDescent="0.25">
      <c r="A65" s="39"/>
      <c r="B65" s="51"/>
      <c r="C65" s="51"/>
    </row>
    <row r="66" spans="1:12" x14ac:dyDescent="0.25">
      <c r="A66" s="39"/>
      <c r="B66" s="51"/>
      <c r="C66" s="51"/>
    </row>
    <row r="67" spans="1:12" x14ac:dyDescent="0.25">
      <c r="A67" s="39"/>
      <c r="B67" s="51"/>
      <c r="C67" s="51"/>
    </row>
    <row r="68" spans="1:12" x14ac:dyDescent="0.25">
      <c r="A68" s="39"/>
      <c r="B68" s="51"/>
      <c r="C68" s="51"/>
    </row>
    <row r="70" spans="1:12" ht="31.5" x14ac:dyDescent="0.25">
      <c r="A70" s="23" t="s">
        <v>6</v>
      </c>
      <c r="B70" s="24"/>
      <c r="C70" s="24"/>
      <c r="D70" s="27" t="s">
        <v>0</v>
      </c>
      <c r="E70" s="27" t="s">
        <v>1</v>
      </c>
      <c r="F70" s="27" t="s">
        <v>2</v>
      </c>
      <c r="G70" s="24" t="s">
        <v>30</v>
      </c>
      <c r="H70" s="24" t="s">
        <v>63</v>
      </c>
      <c r="I70" s="28"/>
      <c r="J70" s="26"/>
      <c r="K70" s="26"/>
      <c r="L70" s="26" t="s">
        <v>10</v>
      </c>
    </row>
    <row r="71" spans="1:12" x14ac:dyDescent="0.25">
      <c r="A71" s="1" t="s">
        <v>87</v>
      </c>
      <c r="E71" s="55">
        <f>$B47</f>
        <v>3</v>
      </c>
      <c r="F71" s="55">
        <f>$B47</f>
        <v>3</v>
      </c>
      <c r="G71" s="55">
        <f>$B47</f>
        <v>3</v>
      </c>
      <c r="H71" s="55">
        <f>$B47</f>
        <v>3</v>
      </c>
      <c r="I71" s="10"/>
      <c r="J71" s="16"/>
      <c r="K71" s="16"/>
      <c r="L71" s="16"/>
    </row>
    <row r="72" spans="1:12" x14ac:dyDescent="0.25">
      <c r="A72" s="1" t="s">
        <v>88</v>
      </c>
      <c r="C72" s="3"/>
      <c r="E72" s="6">
        <f>D41</f>
        <v>0.56899199999998729</v>
      </c>
      <c r="F72" s="6">
        <f>E41</f>
        <v>1.4613600000021876E-3</v>
      </c>
      <c r="G72" s="6">
        <f>F41</f>
        <v>7.2115673749948428E-3</v>
      </c>
      <c r="H72" s="6">
        <f>G41</f>
        <v>-4.0108757044677574</v>
      </c>
      <c r="L72" s="16"/>
    </row>
    <row r="73" spans="1:12" x14ac:dyDescent="0.25">
      <c r="A73" s="1" t="s">
        <v>86</v>
      </c>
      <c r="C73" s="3"/>
      <c r="D73" s="55">
        <f>B52</f>
        <v>11.77</v>
      </c>
      <c r="E73" s="3">
        <f>D78+E71+E72</f>
        <v>10.838991999999987</v>
      </c>
      <c r="F73" s="3">
        <f>E78+F71+F72</f>
        <v>9.8104533599999879</v>
      </c>
      <c r="G73" s="3">
        <f>F78+G71+G72</f>
        <v>7.1976649273749818</v>
      </c>
      <c r="H73" s="3">
        <f>G78+H71+H72</f>
        <v>3.1867892229072243</v>
      </c>
      <c r="L73" s="16" t="s">
        <v>85</v>
      </c>
    </row>
    <row r="74" spans="1:12" x14ac:dyDescent="0.25">
      <c r="A74" s="1" t="s">
        <v>58</v>
      </c>
      <c r="C74" s="3"/>
      <c r="D74" s="55">
        <f>-D49</f>
        <v>-1.5</v>
      </c>
      <c r="E74" s="55">
        <f t="shared" ref="E74:H74" si="17">-E49</f>
        <v>0</v>
      </c>
      <c r="F74" s="55">
        <f t="shared" si="17"/>
        <v>0</v>
      </c>
      <c r="G74" s="55">
        <f t="shared" si="17"/>
        <v>0</v>
      </c>
      <c r="H74" s="55">
        <f t="shared" si="17"/>
        <v>0</v>
      </c>
      <c r="L74" s="16" t="s">
        <v>32</v>
      </c>
    </row>
    <row r="75" spans="1:12" x14ac:dyDescent="0.25">
      <c r="A75" s="1" t="s">
        <v>36</v>
      </c>
      <c r="C75" s="3"/>
      <c r="D75" s="3">
        <f t="shared" ref="D75:H76" si="18">-D18</f>
        <v>-0.55000000000000004</v>
      </c>
      <c r="E75" s="3">
        <f t="shared" si="18"/>
        <v>-0.55000000000000004</v>
      </c>
      <c r="F75" s="3">
        <f t="shared" si="18"/>
        <v>-0.55000000000000004</v>
      </c>
      <c r="G75" s="3">
        <f t="shared" si="18"/>
        <v>-0.55000000000000004</v>
      </c>
      <c r="H75" s="3">
        <f t="shared" si="18"/>
        <v>-0.55000000000000004</v>
      </c>
    </row>
    <row r="76" spans="1:12" x14ac:dyDescent="0.25">
      <c r="A76" s="1" t="s">
        <v>35</v>
      </c>
      <c r="C76" s="3"/>
      <c r="D76" s="3">
        <f t="shared" si="18"/>
        <v>-2.4500000000000002</v>
      </c>
      <c r="E76" s="3">
        <f t="shared" si="18"/>
        <v>-2.4500000000000002</v>
      </c>
      <c r="F76" s="3">
        <f t="shared" si="18"/>
        <v>-2.4500000000000002</v>
      </c>
      <c r="G76" s="3">
        <f t="shared" si="18"/>
        <v>-2.4500000000000002</v>
      </c>
      <c r="H76" s="3">
        <f t="shared" si="18"/>
        <v>-2.4500000000000002</v>
      </c>
    </row>
    <row r="77" spans="1:12" x14ac:dyDescent="0.25">
      <c r="A77" s="1" t="s">
        <v>33</v>
      </c>
      <c r="D77" s="55">
        <f>-D39</f>
        <v>0</v>
      </c>
      <c r="E77" s="55">
        <f>-E39</f>
        <v>-1.03</v>
      </c>
      <c r="F77" s="55">
        <f>-F39</f>
        <v>-2.62</v>
      </c>
      <c r="G77" s="55">
        <f>-G39</f>
        <v>0</v>
      </c>
      <c r="H77" s="55">
        <f>-H39</f>
        <v>0</v>
      </c>
    </row>
    <row r="78" spans="1:12" x14ac:dyDescent="0.25">
      <c r="A78" s="17" t="s">
        <v>34</v>
      </c>
      <c r="B78" s="57"/>
      <c r="C78" s="57"/>
      <c r="D78" s="58">
        <f>SUM(D73:D77)</f>
        <v>7.2699999999999987</v>
      </c>
      <c r="E78" s="58">
        <f>SUM(E73:E77)</f>
        <v>6.8089919999999857</v>
      </c>
      <c r="F78" s="58">
        <f>SUM(F73:F77)</f>
        <v>4.1904533599999869</v>
      </c>
      <c r="G78" s="58">
        <f>SUM(G73:G77)</f>
        <v>4.1976649273749818</v>
      </c>
      <c r="H78" s="58">
        <f>SUM(H73:H77)</f>
        <v>0.18678922290722433</v>
      </c>
      <c r="I78" s="56"/>
      <c r="J78" s="56"/>
      <c r="K78" s="56"/>
      <c r="L78" s="41" t="s">
        <v>54</v>
      </c>
    </row>
    <row r="79" spans="1:12" x14ac:dyDescent="0.25">
      <c r="I79" s="19"/>
      <c r="J79" s="19"/>
      <c r="K79" s="19"/>
    </row>
    <row r="80" spans="1:12" x14ac:dyDescent="0.25">
      <c r="A80" s="39" t="s">
        <v>53</v>
      </c>
      <c r="C80" s="39"/>
      <c r="D80" s="40">
        <f>$B$48*C20</f>
        <v>4.1744700000000003</v>
      </c>
      <c r="E80" s="40">
        <f>$B$48*D20</f>
        <v>4.0192800000000002</v>
      </c>
      <c r="F80" s="40">
        <f>$B$48*E20</f>
        <v>4.1340000000000003</v>
      </c>
      <c r="G80" s="40">
        <f>$B$48*F20</f>
        <v>4.25169</v>
      </c>
      <c r="H80" s="40">
        <f>$B$48*G20</f>
        <v>4.3734135542621875</v>
      </c>
    </row>
  </sheetData>
  <conditionalFormatting sqref="D41">
    <cfRule type="expression" dxfId="89" priority="27">
      <formula>$D$41&lt;0</formula>
    </cfRule>
  </conditionalFormatting>
  <conditionalFormatting sqref="D78">
    <cfRule type="expression" dxfId="88" priority="22">
      <formula>$D$78&lt;$D$80</formula>
    </cfRule>
  </conditionalFormatting>
  <conditionalFormatting sqref="E41">
    <cfRule type="expression" dxfId="87" priority="26">
      <formula>$E$41&lt;0</formula>
    </cfRule>
  </conditionalFormatting>
  <conditionalFormatting sqref="E78">
    <cfRule type="expression" dxfId="86" priority="21">
      <formula>$E$78&lt;$E$80</formula>
    </cfRule>
  </conditionalFormatting>
  <conditionalFormatting sqref="F41">
    <cfRule type="expression" dxfId="85" priority="25">
      <formula>$F$41&lt;0</formula>
    </cfRule>
  </conditionalFormatting>
  <conditionalFormatting sqref="F78">
    <cfRule type="expression" dxfId="84" priority="20">
      <formula>$F$78&lt;$F$80</formula>
    </cfRule>
  </conditionalFormatting>
  <conditionalFormatting sqref="G78">
    <cfRule type="expression" dxfId="83" priority="19">
      <formula>$G$78&lt;$G$80</formula>
    </cfRule>
  </conditionalFormatting>
  <conditionalFormatting sqref="G41:H41">
    <cfRule type="expression" dxfId="82" priority="24">
      <formula>$G$41&lt;0</formula>
    </cfRule>
  </conditionalFormatting>
  <conditionalFormatting sqref="H78">
    <cfRule type="expression" dxfId="81" priority="18">
      <formula>$H$78&lt;$H$80</formula>
    </cfRule>
  </conditionalFormatting>
  <conditionalFormatting sqref="D63">
    <cfRule type="expression" dxfId="80" priority="5">
      <formula>$D$63&lt;0</formula>
    </cfRule>
    <cfRule type="expression" dxfId="79" priority="6">
      <formula>$D$49&lt;0</formula>
    </cfRule>
    <cfRule type="expression" dxfId="78" priority="15">
      <formula>#REF!&lt;0</formula>
    </cfRule>
  </conditionalFormatting>
  <conditionalFormatting sqref="D63:H63">
    <cfRule type="expression" dxfId="77" priority="16">
      <formula>#REF!&lt;#REF!</formula>
    </cfRule>
  </conditionalFormatting>
  <conditionalFormatting sqref="E63">
    <cfRule type="expression" dxfId="76" priority="4">
      <formula>$E$63&lt;0</formula>
    </cfRule>
    <cfRule type="expression" dxfId="75" priority="7">
      <formula>$E$49&lt;0</formula>
    </cfRule>
    <cfRule type="expression" dxfId="74" priority="14">
      <formula>#REF!&lt;0</formula>
    </cfRule>
  </conditionalFormatting>
  <conditionalFormatting sqref="F63">
    <cfRule type="expression" dxfId="73" priority="3">
      <formula>$F$63&lt;0</formula>
    </cfRule>
    <cfRule type="expression" dxfId="72" priority="8">
      <formula>$F$49&lt;0</formula>
    </cfRule>
    <cfRule type="expression" dxfId="71" priority="13">
      <formula>#REF!&lt;0</formula>
    </cfRule>
  </conditionalFormatting>
  <conditionalFormatting sqref="G63">
    <cfRule type="expression" dxfId="70" priority="2">
      <formula>$G$63&lt;0</formula>
    </cfRule>
    <cfRule type="expression" dxfId="69" priority="9">
      <formula>$G$49&lt;0</formula>
    </cfRule>
    <cfRule type="expression" dxfId="68" priority="12">
      <formula>#REF!&lt;0</formula>
    </cfRule>
  </conditionalFormatting>
  <conditionalFormatting sqref="H63">
    <cfRule type="expression" dxfId="67" priority="1">
      <formula>$H$63&lt;0</formula>
    </cfRule>
    <cfRule type="expression" dxfId="66" priority="10">
      <formula>$H$49&lt;0</formula>
    </cfRule>
    <cfRule type="expression" dxfId="65" priority="11">
      <formula>#REF!&lt;0</formula>
    </cfRule>
  </conditionalFormatting>
  <pageMargins left="0.7" right="0.7" top="0.75" bottom="0.75" header="0.3" footer="0.3"/>
  <pageSetup scale="44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6AF89-2FDA-1B40-80BC-B3922F1061BD}">
  <sheetPr>
    <pageSetUpPr fitToPage="1"/>
  </sheetPr>
  <dimension ref="A1:L83"/>
  <sheetViews>
    <sheetView zoomScaleNormal="100" workbookViewId="0">
      <selection activeCell="A2" sqref="A2"/>
    </sheetView>
  </sheetViews>
  <sheetFormatPr defaultColWidth="11" defaultRowHeight="15.75" x14ac:dyDescent="0.25"/>
  <cols>
    <col min="1" max="1" width="50.75" customWidth="1"/>
    <col min="2" max="2" width="8.125" customWidth="1"/>
    <col min="3" max="8" width="9.625" customWidth="1"/>
    <col min="9" max="11" width="8.125" customWidth="1"/>
    <col min="12" max="12" width="52" customWidth="1"/>
  </cols>
  <sheetData>
    <row r="1" spans="1:12" s="1" customFormat="1" ht="18.75" x14ac:dyDescent="0.3">
      <c r="A1" s="44" t="s">
        <v>99</v>
      </c>
    </row>
    <row r="2" spans="1:12" ht="12.95" customHeight="1" x14ac:dyDescent="0.25">
      <c r="A2" s="33" t="s">
        <v>21</v>
      </c>
    </row>
    <row r="3" spans="1:12" ht="12.95" customHeight="1" x14ac:dyDescent="0.25">
      <c r="A3" s="33" t="s">
        <v>29</v>
      </c>
    </row>
    <row r="4" spans="1:12" ht="12.95" customHeight="1" x14ac:dyDescent="0.25">
      <c r="A4" s="33" t="s">
        <v>59</v>
      </c>
    </row>
    <row r="6" spans="1:12" x14ac:dyDescent="0.25">
      <c r="A6" s="42" t="s">
        <v>20</v>
      </c>
      <c r="B6" s="62"/>
      <c r="C6" s="62"/>
      <c r="D6" s="62"/>
      <c r="E6" s="62" t="s">
        <v>65</v>
      </c>
      <c r="F6" s="62" t="s">
        <v>66</v>
      </c>
      <c r="G6" s="62" t="s">
        <v>67</v>
      </c>
      <c r="H6" s="60" t="s">
        <v>68</v>
      </c>
    </row>
    <row r="7" spans="1:12" x14ac:dyDescent="0.25">
      <c r="A7" s="18" t="s">
        <v>75</v>
      </c>
      <c r="B7" s="68"/>
      <c r="C7" s="69"/>
      <c r="D7" s="68"/>
      <c r="E7" s="64">
        <v>3.3000000000000002E-2</v>
      </c>
      <c r="F7" s="64">
        <v>3.3000000000000002E-2</v>
      </c>
      <c r="G7" s="64">
        <v>3.7499999999999999E-2</v>
      </c>
      <c r="H7" s="65">
        <v>0.04</v>
      </c>
    </row>
    <row r="8" spans="1:12" x14ac:dyDescent="0.25">
      <c r="A8" s="20" t="s">
        <v>76</v>
      </c>
      <c r="B8" s="70"/>
      <c r="C8" s="71"/>
      <c r="D8" s="70"/>
      <c r="E8" s="61">
        <v>1.2999999999999999E-2</v>
      </c>
      <c r="F8" s="61">
        <v>1.2999999999999999E-2</v>
      </c>
      <c r="G8" s="61">
        <v>1.4999999999999999E-2</v>
      </c>
      <c r="H8" s="45">
        <v>1.4999999999999999E-2</v>
      </c>
    </row>
    <row r="9" spans="1:12" x14ac:dyDescent="0.25">
      <c r="A9" s="21" t="s">
        <v>77</v>
      </c>
      <c r="B9" s="66"/>
      <c r="C9" s="73"/>
      <c r="D9" s="66"/>
      <c r="E9" s="74">
        <v>5.0000000000000001E-3</v>
      </c>
      <c r="F9" s="74">
        <v>5.0000000000000001E-3</v>
      </c>
      <c r="G9" s="74">
        <v>1.4999999999999999E-2</v>
      </c>
      <c r="H9" s="75">
        <v>2.5000000000000001E-2</v>
      </c>
    </row>
    <row r="10" spans="1:12" x14ac:dyDescent="0.25">
      <c r="A10" s="18" t="s">
        <v>60</v>
      </c>
      <c r="B10" s="68"/>
      <c r="C10" s="69"/>
      <c r="D10" s="68"/>
      <c r="E10" s="64">
        <v>0.05</v>
      </c>
      <c r="F10" s="64">
        <v>4.7500000000000001E-2</v>
      </c>
      <c r="G10" s="64">
        <v>4.4999999999999998E-2</v>
      </c>
      <c r="H10" s="65">
        <v>4.4999999999999998E-2</v>
      </c>
    </row>
    <row r="11" spans="1:12" x14ac:dyDescent="0.25">
      <c r="A11" s="20" t="s">
        <v>73</v>
      </c>
      <c r="B11" s="70"/>
      <c r="C11" s="71"/>
      <c r="D11" s="70"/>
      <c r="E11" s="61">
        <v>6.5000000000000002E-2</v>
      </c>
      <c r="F11" s="61">
        <v>6.25E-2</v>
      </c>
      <c r="G11" s="61">
        <v>0.06</v>
      </c>
      <c r="H11" s="45">
        <v>0.06</v>
      </c>
    </row>
    <row r="12" spans="1:12" x14ac:dyDescent="0.25">
      <c r="A12" s="20" t="s">
        <v>74</v>
      </c>
      <c r="B12" s="70"/>
      <c r="C12" s="71"/>
      <c r="D12" s="70"/>
      <c r="E12" s="61">
        <v>2.5000000000000001E-2</v>
      </c>
      <c r="F12" s="61">
        <v>2.5000000000000001E-2</v>
      </c>
      <c r="G12" s="61">
        <v>2.5000000000000001E-2</v>
      </c>
      <c r="H12" s="45">
        <v>2.5000000000000001E-2</v>
      </c>
    </row>
    <row r="13" spans="1:12" x14ac:dyDescent="0.25">
      <c r="A13" s="20" t="s">
        <v>70</v>
      </c>
      <c r="B13" s="70"/>
      <c r="C13" s="71"/>
      <c r="D13" s="70"/>
      <c r="E13" s="61">
        <v>2.5000000000000001E-2</v>
      </c>
      <c r="F13" s="61">
        <v>2.5000000000000001E-2</v>
      </c>
      <c r="G13" s="61">
        <v>2.5000000000000001E-2</v>
      </c>
      <c r="H13" s="45">
        <v>2.5000000000000001E-2</v>
      </c>
    </row>
    <row r="14" spans="1:12" x14ac:dyDescent="0.25">
      <c r="A14" s="21" t="s">
        <v>71</v>
      </c>
      <c r="B14" s="66"/>
      <c r="C14" s="73"/>
      <c r="D14" s="66"/>
      <c r="E14" s="74">
        <v>3.9E-2</v>
      </c>
      <c r="F14" s="74">
        <v>3.9E-2</v>
      </c>
      <c r="G14" s="74">
        <v>3.5000000000000003E-2</v>
      </c>
      <c r="H14" s="75">
        <v>0.03</v>
      </c>
    </row>
    <row r="15" spans="1:12" x14ac:dyDescent="0.25">
      <c r="A15" s="21" t="s">
        <v>19</v>
      </c>
      <c r="B15" s="63">
        <v>3</v>
      </c>
      <c r="C15" s="66"/>
      <c r="D15" s="66"/>
      <c r="E15" s="66"/>
      <c r="F15" s="66"/>
      <c r="G15" s="66"/>
      <c r="H15" s="67"/>
      <c r="L15" s="16" t="s">
        <v>51</v>
      </c>
    </row>
    <row r="17" spans="1:12" ht="31.5" x14ac:dyDescent="0.25">
      <c r="A17" s="23" t="s">
        <v>43</v>
      </c>
      <c r="B17" s="24" t="s">
        <v>45</v>
      </c>
      <c r="C17" s="24" t="s">
        <v>24</v>
      </c>
      <c r="D17" s="24" t="s">
        <v>0</v>
      </c>
      <c r="E17" s="24" t="s">
        <v>1</v>
      </c>
      <c r="F17" s="24" t="s">
        <v>2</v>
      </c>
      <c r="G17" s="24" t="s">
        <v>30</v>
      </c>
      <c r="H17" s="24" t="s">
        <v>63</v>
      </c>
      <c r="I17" s="25" t="s">
        <v>12</v>
      </c>
      <c r="J17" s="25" t="s">
        <v>11</v>
      </c>
      <c r="K17" s="25" t="s">
        <v>69</v>
      </c>
      <c r="L17" s="26" t="s">
        <v>10</v>
      </c>
    </row>
    <row r="18" spans="1:12" x14ac:dyDescent="0.25">
      <c r="A18" s="1" t="s">
        <v>3</v>
      </c>
      <c r="B18" s="3">
        <v>102.786</v>
      </c>
      <c r="C18" s="3">
        <v>106.319</v>
      </c>
      <c r="D18" s="3">
        <v>109.837</v>
      </c>
      <c r="E18" s="9">
        <f t="shared" ref="E18:H20" si="0">D18*(1+E7)</f>
        <v>113.46162099999999</v>
      </c>
      <c r="F18" s="9">
        <f t="shared" si="0"/>
        <v>117.20585449299999</v>
      </c>
      <c r="G18" s="9">
        <f t="shared" si="0"/>
        <v>121.6010740364875</v>
      </c>
      <c r="H18" s="9">
        <f t="shared" si="0"/>
        <v>126.46511699794701</v>
      </c>
      <c r="I18" s="10">
        <f t="shared" ref="I18:I23" si="1">RATE(3,,-C18,F18)</f>
        <v>3.3029699074337844E-2</v>
      </c>
      <c r="J18" s="10">
        <f t="shared" ref="J18:J23" si="2">RATE(2,,-D18,F18)</f>
        <v>3.3000000002103493E-2</v>
      </c>
      <c r="K18" s="10">
        <f t="shared" ref="K18:K23" si="3">RATE(2,,-F18,H18)</f>
        <v>3.8749247894848252E-2</v>
      </c>
      <c r="L18" s="15" t="s">
        <v>46</v>
      </c>
    </row>
    <row r="19" spans="1:12" x14ac:dyDescent="0.25">
      <c r="A19" s="1" t="s">
        <v>4</v>
      </c>
      <c r="B19" s="3">
        <v>12.856999999999999</v>
      </c>
      <c r="C19" s="3">
        <v>14.608000000000001</v>
      </c>
      <c r="D19" s="3">
        <f>14.772</f>
        <v>14.772</v>
      </c>
      <c r="E19" s="9">
        <f t="shared" si="0"/>
        <v>14.964035999999998</v>
      </c>
      <c r="F19" s="9">
        <f t="shared" si="0"/>
        <v>15.158568467999997</v>
      </c>
      <c r="G19" s="9">
        <f t="shared" si="0"/>
        <v>15.385946995019996</v>
      </c>
      <c r="H19" s="9">
        <f t="shared" si="0"/>
        <v>15.616736199945294</v>
      </c>
      <c r="I19" s="10">
        <f t="shared" si="1"/>
        <v>1.2408563119353495E-2</v>
      </c>
      <c r="J19" s="10">
        <f t="shared" si="2"/>
        <v>1.2999999999999831E-2</v>
      </c>
      <c r="K19" s="10">
        <f t="shared" si="3"/>
        <v>1.4999999999999823E-2</v>
      </c>
      <c r="L19" s="15" t="s">
        <v>46</v>
      </c>
    </row>
    <row r="20" spans="1:12" x14ac:dyDescent="0.25">
      <c r="A20" s="1" t="s">
        <v>27</v>
      </c>
      <c r="B20" s="3">
        <f>10.8+0.368+1.388-2.919</f>
        <v>9.6370000000000005</v>
      </c>
      <c r="C20" s="3">
        <v>7.976</v>
      </c>
      <c r="D20" s="3">
        <v>6.367</v>
      </c>
      <c r="E20" s="9">
        <f t="shared" si="0"/>
        <v>6.3988349999999992</v>
      </c>
      <c r="F20" s="9">
        <f t="shared" si="0"/>
        <v>6.4308291749999986</v>
      </c>
      <c r="G20" s="9">
        <f t="shared" si="0"/>
        <v>6.5272916126249978</v>
      </c>
      <c r="H20" s="9">
        <f t="shared" si="0"/>
        <v>6.6904739029406217</v>
      </c>
      <c r="I20" s="10">
        <f t="shared" si="1"/>
        <v>-6.9262363353903345E-2</v>
      </c>
      <c r="J20" s="10">
        <f t="shared" si="2"/>
        <v>4.999999999999955E-3</v>
      </c>
      <c r="K20" s="10">
        <f t="shared" si="3"/>
        <v>1.9987745024419124E-2</v>
      </c>
      <c r="L20" s="15" t="s">
        <v>46</v>
      </c>
    </row>
    <row r="21" spans="1:12" x14ac:dyDescent="0.25">
      <c r="A21" s="1" t="s">
        <v>28</v>
      </c>
      <c r="B21" s="4">
        <v>0.55000000000000004</v>
      </c>
      <c r="C21" s="4">
        <v>0.55000000000000004</v>
      </c>
      <c r="D21" s="4">
        <v>0.55000000000000004</v>
      </c>
      <c r="E21" s="4">
        <v>0.55000000000000004</v>
      </c>
      <c r="F21" s="4">
        <v>0.55000000000000004</v>
      </c>
      <c r="G21" s="4">
        <v>0.55000000000000004</v>
      </c>
      <c r="H21" s="4">
        <v>0.55000000000000004</v>
      </c>
      <c r="I21" s="10">
        <f t="shared" si="1"/>
        <v>4.5713096385530498E-14</v>
      </c>
      <c r="J21" s="10">
        <f t="shared" si="2"/>
        <v>-3.8736184847597014E-17</v>
      </c>
      <c r="K21" s="10">
        <f t="shared" si="3"/>
        <v>-3.8736184847597014E-17</v>
      </c>
      <c r="L21" s="15" t="s">
        <v>46</v>
      </c>
    </row>
    <row r="22" spans="1:12" x14ac:dyDescent="0.25">
      <c r="A22" s="1" t="s">
        <v>26</v>
      </c>
      <c r="B22" s="3">
        <f>5.96-0.55</f>
        <v>5.41</v>
      </c>
      <c r="C22" s="3">
        <f>10.246-C21</f>
        <v>9.6959999999999997</v>
      </c>
      <c r="D22" s="3">
        <f>3-D21</f>
        <v>2.4500000000000002</v>
      </c>
      <c r="E22" s="3">
        <f>3-E21</f>
        <v>2.4500000000000002</v>
      </c>
      <c r="F22" s="3">
        <f>3-F21</f>
        <v>2.4500000000000002</v>
      </c>
      <c r="G22" s="3">
        <f t="shared" ref="G22" si="4">F22*(1+J22)</f>
        <v>2.4500000000000002</v>
      </c>
      <c r="H22" s="3">
        <f>G22*(1+J22)</f>
        <v>2.4500000000000002</v>
      </c>
      <c r="I22" s="10">
        <f t="shared" si="1"/>
        <v>-0.36779514619600151</v>
      </c>
      <c r="J22" s="10">
        <f t="shared" si="2"/>
        <v>8.2036374720236702E-17</v>
      </c>
      <c r="K22" s="72">
        <f t="shared" si="3"/>
        <v>8.2036374720236702E-17</v>
      </c>
      <c r="L22" s="16" t="s">
        <v>62</v>
      </c>
    </row>
    <row r="23" spans="1:12" x14ac:dyDescent="0.25">
      <c r="A23" s="2" t="s">
        <v>8</v>
      </c>
      <c r="B23" s="5">
        <f t="shared" ref="B23:G23" si="5">SUM(B18:B22)</f>
        <v>131.24</v>
      </c>
      <c r="C23" s="5">
        <f t="shared" si="5"/>
        <v>139.14900000000003</v>
      </c>
      <c r="D23" s="5">
        <f t="shared" si="5"/>
        <v>133.976</v>
      </c>
      <c r="E23" s="5">
        <f t="shared" si="5"/>
        <v>137.82449199999999</v>
      </c>
      <c r="F23" s="5">
        <f t="shared" si="5"/>
        <v>141.79525213599996</v>
      </c>
      <c r="G23" s="5">
        <f t="shared" si="5"/>
        <v>146.5143126441325</v>
      </c>
      <c r="H23" s="5">
        <f t="shared" ref="H23" si="6">SUM(H18:H22)</f>
        <v>151.77232710083294</v>
      </c>
      <c r="I23" s="11">
        <f t="shared" si="1"/>
        <v>6.2993678386876542E-3</v>
      </c>
      <c r="J23" s="11">
        <f t="shared" si="2"/>
        <v>2.8767748802830406E-2</v>
      </c>
      <c r="K23" s="10">
        <f t="shared" si="3"/>
        <v>3.4583271709500964E-2</v>
      </c>
      <c r="L23" s="15"/>
    </row>
    <row r="24" spans="1:12" x14ac:dyDescent="0.25">
      <c r="A24" s="1"/>
      <c r="B24" s="6"/>
      <c r="C24" s="6"/>
      <c r="D24" s="6"/>
      <c r="E24" s="6"/>
      <c r="F24" s="6"/>
      <c r="G24" s="6"/>
      <c r="H24" s="6"/>
      <c r="I24" s="12"/>
      <c r="J24" s="12"/>
      <c r="K24" s="12"/>
    </row>
    <row r="25" spans="1:12" ht="31.5" x14ac:dyDescent="0.25">
      <c r="A25" s="23" t="s">
        <v>42</v>
      </c>
      <c r="B25" s="24" t="s">
        <v>45</v>
      </c>
      <c r="C25" s="24" t="s">
        <v>24</v>
      </c>
      <c r="D25" s="27" t="s">
        <v>0</v>
      </c>
      <c r="E25" s="27" t="s">
        <v>1</v>
      </c>
      <c r="F25" s="27" t="s">
        <v>2</v>
      </c>
      <c r="G25" s="24" t="s">
        <v>30</v>
      </c>
      <c r="H25" s="24" t="s">
        <v>63</v>
      </c>
      <c r="I25" s="28" t="s">
        <v>9</v>
      </c>
      <c r="J25" s="28" t="s">
        <v>11</v>
      </c>
      <c r="K25" s="25" t="s">
        <v>69</v>
      </c>
      <c r="L25" s="26" t="s">
        <v>10</v>
      </c>
    </row>
    <row r="26" spans="1:12" x14ac:dyDescent="0.25">
      <c r="A26" s="1" t="s">
        <v>38</v>
      </c>
      <c r="B26" s="3">
        <v>45.351999999999997</v>
      </c>
      <c r="C26" s="3">
        <v>48.195</v>
      </c>
      <c r="D26" s="32">
        <f>50.325+0.089</f>
        <v>50.414000000000001</v>
      </c>
      <c r="E26" s="9">
        <f>D26*(1+E10)</f>
        <v>52.934700000000007</v>
      </c>
      <c r="F26" s="9">
        <f>E26*(1+F10)</f>
        <v>55.449098250000013</v>
      </c>
      <c r="G26" s="9">
        <f>F26*(1+G10)</f>
        <v>57.944307671250009</v>
      </c>
      <c r="H26" s="9">
        <f>G26*(1+H10)</f>
        <v>60.551801516456258</v>
      </c>
      <c r="I26" s="10">
        <f t="shared" ref="I26:I36" si="7">RATE(3,,-C26,F26)</f>
        <v>4.7846099343095493E-2</v>
      </c>
      <c r="J26" s="10">
        <f t="shared" ref="J26:J36" si="8">RATE(2,,-D26,F26)</f>
        <v>4.8749255065531308E-2</v>
      </c>
      <c r="K26" s="10">
        <f>RATE(2,,-F26,H26)</f>
        <v>4.5000000000426359E-2</v>
      </c>
      <c r="L26" s="16" t="s">
        <v>83</v>
      </c>
    </row>
    <row r="27" spans="1:12" x14ac:dyDescent="0.25">
      <c r="A27" s="1" t="s">
        <v>39</v>
      </c>
      <c r="B27" s="3">
        <v>7.6669999999999998</v>
      </c>
      <c r="C27" s="3">
        <f>8.677343+1.812087+1.328967</f>
        <v>11.818397000000001</v>
      </c>
      <c r="D27" s="32">
        <f>9.284758+1.938933+1.421995</f>
        <v>12.645686000000001</v>
      </c>
      <c r="E27" s="9">
        <f t="shared" ref="E27:H28" si="9">D27*(1+E11)</f>
        <v>13.467655590000001</v>
      </c>
      <c r="F27" s="9">
        <f t="shared" si="9"/>
        <v>14.309384064375001</v>
      </c>
      <c r="G27" s="9">
        <f t="shared" si="9"/>
        <v>15.167947108237502</v>
      </c>
      <c r="H27" s="9">
        <f t="shared" si="9"/>
        <v>16.078023934731753</v>
      </c>
      <c r="I27" s="10">
        <f>RATE(3,,-C27,F27)</f>
        <v>6.5828809850854653E-2</v>
      </c>
      <c r="J27" s="10">
        <f>RATE(2,,-D27,F27)</f>
        <v>6.3749265569679289E-2</v>
      </c>
      <c r="K27" s="10">
        <f>RATE(2,,-F27,H27)</f>
        <v>6.0000000000033152E-2</v>
      </c>
      <c r="L27" s="16" t="s">
        <v>83</v>
      </c>
    </row>
    <row r="28" spans="1:12" x14ac:dyDescent="0.25">
      <c r="A28" s="1" t="s">
        <v>40</v>
      </c>
      <c r="B28" s="3">
        <v>2.8769999999999998</v>
      </c>
      <c r="C28" s="3">
        <f>2.599608+0.274205</f>
        <v>2.8738129999999997</v>
      </c>
      <c r="D28" s="32">
        <f>2.702262+0.28106+0.305+0.024+0.1</f>
        <v>3.4123220000000005</v>
      </c>
      <c r="E28" s="9">
        <f t="shared" si="9"/>
        <v>3.4976300500000002</v>
      </c>
      <c r="F28" s="9">
        <f t="shared" si="9"/>
        <v>3.5850708012499997</v>
      </c>
      <c r="G28" s="9">
        <f t="shared" si="9"/>
        <v>3.6746975712812495</v>
      </c>
      <c r="H28" s="9">
        <f t="shared" si="9"/>
        <v>3.7665650105632804</v>
      </c>
      <c r="I28" s="10">
        <f>RATE(3,,-C28,F28)</f>
        <v>7.6497628208493013E-2</v>
      </c>
      <c r="J28" s="10">
        <f>RATE(2,,-D28,F28)</f>
        <v>2.4999999999999887E-2</v>
      </c>
      <c r="K28" s="10">
        <f>RATE(2,,-F28,H28)</f>
        <v>2.4999999999999974E-2</v>
      </c>
      <c r="L28" s="16" t="s">
        <v>83</v>
      </c>
    </row>
    <row r="29" spans="1:12" x14ac:dyDescent="0.25">
      <c r="A29" s="1" t="s">
        <v>44</v>
      </c>
      <c r="B29" s="3">
        <v>0</v>
      </c>
      <c r="C29" s="3">
        <v>0.6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10"/>
      <c r="J29" s="10"/>
      <c r="K29" s="10"/>
      <c r="L29" s="16" t="s">
        <v>41</v>
      </c>
    </row>
    <row r="30" spans="1:12" x14ac:dyDescent="0.25">
      <c r="A30" s="1" t="s">
        <v>7</v>
      </c>
      <c r="B30" s="3">
        <v>32.473999999999997</v>
      </c>
      <c r="C30" s="3">
        <v>33.305</v>
      </c>
      <c r="D30" s="32">
        <v>33.375</v>
      </c>
      <c r="E30" s="9">
        <f>D30*(1+E13)</f>
        <v>34.209374999999994</v>
      </c>
      <c r="F30" s="9">
        <f>E30*(1+F13)</f>
        <v>35.064609374999989</v>
      </c>
      <c r="G30" s="9">
        <f>F30*(1+G13)</f>
        <v>35.941224609374984</v>
      </c>
      <c r="H30" s="9">
        <f>G30*(1+H13)</f>
        <v>36.839755224609355</v>
      </c>
      <c r="I30" s="10">
        <f t="shared" si="7"/>
        <v>1.7309708338030697E-2</v>
      </c>
      <c r="J30" s="10">
        <f t="shared" si="8"/>
        <v>2.4999999999999932E-2</v>
      </c>
      <c r="K30" s="10">
        <f t="shared" ref="K30:K36" si="10">RATE(2,,-F30,H30)</f>
        <v>2.4999999999999922E-2</v>
      </c>
      <c r="L30" s="16"/>
    </row>
    <row r="31" spans="1:12" x14ac:dyDescent="0.25">
      <c r="A31" s="1" t="s">
        <v>13</v>
      </c>
      <c r="B31" s="3">
        <v>6.3209999999999997</v>
      </c>
      <c r="C31" s="3">
        <v>7.5190000000000001</v>
      </c>
      <c r="D31" s="32">
        <v>7.5750000000000002</v>
      </c>
      <c r="E31" s="3">
        <v>7.7450000000000001</v>
      </c>
      <c r="F31" s="3">
        <v>7.9180000000000001</v>
      </c>
      <c r="G31" s="3">
        <f t="shared" ref="G31:G34" si="11">F31*(1+J31)</f>
        <v>8.0952809839340887</v>
      </c>
      <c r="H31" s="3">
        <f>G31*(1+J31)</f>
        <v>8.2765312211221111</v>
      </c>
      <c r="I31" s="10">
        <f t="shared" si="7"/>
        <v>1.738454854762286E-2</v>
      </c>
      <c r="J31" s="10">
        <f t="shared" si="8"/>
        <v>2.2389616561516768E-2</v>
      </c>
      <c r="K31" s="10">
        <f t="shared" si="10"/>
        <v>2.2389616561516657E-2</v>
      </c>
      <c r="L31" s="16" t="s">
        <v>47</v>
      </c>
    </row>
    <row r="32" spans="1:12" x14ac:dyDescent="0.25">
      <c r="A32" s="1" t="s">
        <v>14</v>
      </c>
      <c r="B32" s="3">
        <v>25.477</v>
      </c>
      <c r="C32" s="3">
        <v>26.213999999999999</v>
      </c>
      <c r="D32" s="32">
        <v>26.402000000000001</v>
      </c>
      <c r="E32" s="9">
        <f>D32*(1+E14)</f>
        <v>27.431677999999998</v>
      </c>
      <c r="F32" s="9">
        <f>E32*(1+F14)</f>
        <v>28.501513441999997</v>
      </c>
      <c r="G32" s="9">
        <f>F32*(1+G14)</f>
        <v>29.499066412469993</v>
      </c>
      <c r="H32" s="9">
        <f>G32*(1+H14)</f>
        <v>30.384038404844095</v>
      </c>
      <c r="I32" s="10">
        <f t="shared" si="7"/>
        <v>2.8280363131910055E-2</v>
      </c>
      <c r="J32" s="10">
        <f t="shared" si="8"/>
        <v>3.9000000000983658E-2</v>
      </c>
      <c r="K32" s="10">
        <f t="shared" si="10"/>
        <v>3.2496973363416524E-2</v>
      </c>
      <c r="L32" s="16"/>
    </row>
    <row r="33" spans="1:12" x14ac:dyDescent="0.25">
      <c r="A33" s="1" t="s">
        <v>15</v>
      </c>
      <c r="B33" s="3">
        <v>1.2490000000000001</v>
      </c>
      <c r="C33" s="3">
        <v>3.3740000000000001</v>
      </c>
      <c r="D33" s="32">
        <v>1.5609999999999999</v>
      </c>
      <c r="E33" s="3">
        <v>1.601</v>
      </c>
      <c r="F33" s="3">
        <v>1.6439999999999999</v>
      </c>
      <c r="G33" s="3">
        <f t="shared" si="11"/>
        <v>1.6871405677428037</v>
      </c>
      <c r="H33" s="3">
        <f>G33*(1+J33)</f>
        <v>1.731413196668802</v>
      </c>
      <c r="I33" s="10">
        <f t="shared" si="7"/>
        <v>-0.21310114812985417</v>
      </c>
      <c r="J33" s="10">
        <f t="shared" si="8"/>
        <v>2.6241221254747003E-2</v>
      </c>
      <c r="K33" s="10">
        <f t="shared" si="10"/>
        <v>2.6241221254746781E-2</v>
      </c>
      <c r="L33" s="15"/>
    </row>
    <row r="34" spans="1:12" x14ac:dyDescent="0.25">
      <c r="A34" s="1" t="s">
        <v>16</v>
      </c>
      <c r="B34" s="3">
        <v>5.0839999999999996</v>
      </c>
      <c r="C34" s="3">
        <v>5.2480000000000002</v>
      </c>
      <c r="D34" s="32">
        <f>5.842-0.5</f>
        <v>5.3419999999999996</v>
      </c>
      <c r="E34" s="3">
        <f>5.957-0.5</f>
        <v>5.4569999999999999</v>
      </c>
      <c r="F34" s="3">
        <f>6.08-0.5</f>
        <v>5.58</v>
      </c>
      <c r="G34" s="3">
        <f t="shared" si="11"/>
        <v>5.7029472764167242</v>
      </c>
      <c r="H34" s="3">
        <f>G34*(1+J34)</f>
        <v>5.8286035192811703</v>
      </c>
      <c r="I34" s="10">
        <f t="shared" si="7"/>
        <v>2.065771853799413E-2</v>
      </c>
      <c r="J34" s="10">
        <f t="shared" si="8"/>
        <v>2.2033562081850054E-2</v>
      </c>
      <c r="K34" s="10">
        <f t="shared" si="10"/>
        <v>2.2033562081850297E-2</v>
      </c>
      <c r="L34" s="15"/>
    </row>
    <row r="35" spans="1:12" x14ac:dyDescent="0.25">
      <c r="A35" s="1" t="s">
        <v>64</v>
      </c>
      <c r="B35" s="3"/>
      <c r="C35" s="3"/>
      <c r="D35" s="32">
        <v>0.5</v>
      </c>
      <c r="E35" s="32">
        <v>0.5</v>
      </c>
      <c r="F35" s="32">
        <v>0.5</v>
      </c>
      <c r="G35" s="32">
        <v>0.5</v>
      </c>
      <c r="H35" s="32">
        <v>0.5</v>
      </c>
      <c r="I35" s="10"/>
      <c r="J35" s="10">
        <f t="shared" si="8"/>
        <v>7.7404550817594379E-17</v>
      </c>
      <c r="K35" s="72">
        <f t="shared" si="10"/>
        <v>7.7404550817594379E-17</v>
      </c>
      <c r="L35" s="16" t="s">
        <v>48</v>
      </c>
    </row>
    <row r="36" spans="1:12" x14ac:dyDescent="0.25">
      <c r="A36" s="2" t="s">
        <v>5</v>
      </c>
      <c r="B36" s="5">
        <f t="shared" ref="B36:G36" si="12">SUM(B26:B35)</f>
        <v>126.501</v>
      </c>
      <c r="C36" s="5">
        <f t="shared" si="12"/>
        <v>139.14721</v>
      </c>
      <c r="D36" s="5">
        <f t="shared" si="12"/>
        <v>141.22700800000001</v>
      </c>
      <c r="E36" s="5">
        <f t="shared" si="12"/>
        <v>146.84403864000001</v>
      </c>
      <c r="F36" s="5">
        <f t="shared" si="12"/>
        <v>152.55167593262502</v>
      </c>
      <c r="G36" s="5">
        <f t="shared" si="12"/>
        <v>158.21261220070735</v>
      </c>
      <c r="H36" s="5">
        <f t="shared" ref="H36" si="13">SUM(H26:H35)</f>
        <v>163.95673202827683</v>
      </c>
      <c r="I36" s="11">
        <f t="shared" si="7"/>
        <v>3.1131751196424549E-2</v>
      </c>
      <c r="J36" s="11">
        <f t="shared" si="8"/>
        <v>3.932078435984776E-2</v>
      </c>
      <c r="K36" s="10">
        <f t="shared" si="10"/>
        <v>3.6707248634618155E-2</v>
      </c>
      <c r="L36" s="16" t="s">
        <v>61</v>
      </c>
    </row>
    <row r="37" spans="1:12" x14ac:dyDescent="0.25">
      <c r="A37" s="1"/>
      <c r="B37" s="3"/>
      <c r="C37" s="3"/>
      <c r="D37" s="3"/>
      <c r="E37" s="3"/>
      <c r="F37" s="3"/>
      <c r="G37" s="3"/>
      <c r="H37" s="3"/>
      <c r="I37" s="10"/>
      <c r="J37" s="10"/>
      <c r="K37" s="10"/>
    </row>
    <row r="38" spans="1:12" x14ac:dyDescent="0.25">
      <c r="A38" s="17" t="s">
        <v>17</v>
      </c>
      <c r="B38" s="34">
        <f t="shared" ref="B38:H38" si="14">B23-B36</f>
        <v>4.7390000000000043</v>
      </c>
      <c r="C38" s="34">
        <f t="shared" si="14"/>
        <v>1.790000000028158E-3</v>
      </c>
      <c r="D38" s="34">
        <f t="shared" si="14"/>
        <v>-7.251008000000013</v>
      </c>
      <c r="E38" s="34">
        <f t="shared" si="14"/>
        <v>-9.0195466400000157</v>
      </c>
      <c r="F38" s="34">
        <f t="shared" si="14"/>
        <v>-10.756423796625057</v>
      </c>
      <c r="G38" s="34">
        <f t="shared" si="14"/>
        <v>-11.698299556574852</v>
      </c>
      <c r="H38" s="34">
        <f t="shared" si="14"/>
        <v>-12.184404927443893</v>
      </c>
      <c r="I38" s="35"/>
      <c r="J38" s="35"/>
      <c r="K38" s="35"/>
      <c r="L38" s="17"/>
    </row>
    <row r="39" spans="1:12" x14ac:dyDescent="0.25">
      <c r="A39" s="1"/>
      <c r="B39" s="7"/>
      <c r="C39" s="7"/>
      <c r="D39" s="7"/>
      <c r="E39" s="7"/>
      <c r="F39" s="7"/>
      <c r="G39" s="7"/>
      <c r="H39" s="7"/>
      <c r="I39" s="13"/>
      <c r="J39" s="13"/>
      <c r="K39" s="13"/>
    </row>
    <row r="40" spans="1:12" ht="31.5" x14ac:dyDescent="0.25">
      <c r="A40" s="23" t="s">
        <v>31</v>
      </c>
      <c r="B40" s="27"/>
      <c r="C40" s="27"/>
      <c r="D40" s="27" t="s">
        <v>0</v>
      </c>
      <c r="E40" s="27" t="s">
        <v>1</v>
      </c>
      <c r="F40" s="27" t="s">
        <v>2</v>
      </c>
      <c r="G40" s="24" t="s">
        <v>30</v>
      </c>
      <c r="H40" s="24" t="s">
        <v>63</v>
      </c>
      <c r="I40" s="28"/>
      <c r="J40" s="28" t="s">
        <v>11</v>
      </c>
      <c r="K40" s="25" t="s">
        <v>69</v>
      </c>
      <c r="L40" s="26" t="s">
        <v>10</v>
      </c>
    </row>
    <row r="41" spans="1:12" x14ac:dyDescent="0.25">
      <c r="A41" s="1" t="s">
        <v>49</v>
      </c>
      <c r="B41" s="8"/>
      <c r="C41" s="8"/>
      <c r="D41" s="31">
        <v>7.8</v>
      </c>
      <c r="E41" s="4">
        <f>D41*1.025</f>
        <v>7.9949999999999992</v>
      </c>
      <c r="F41" s="4">
        <f>E41*1.025</f>
        <v>8.1948749999999979</v>
      </c>
      <c r="G41" s="4">
        <f>F41*1.025</f>
        <v>8.3997468749999964</v>
      </c>
      <c r="H41" s="4">
        <f>G41*1.025</f>
        <v>8.6097405468749955</v>
      </c>
      <c r="I41" s="14"/>
      <c r="J41" s="10">
        <f t="shared" ref="J41" si="15">RATE(2,,-D41,F41)</f>
        <v>2.4999999999999946E-2</v>
      </c>
      <c r="K41" s="10">
        <f>RATE(2,,-F41,H41)</f>
        <v>2.4999999999999925E-2</v>
      </c>
      <c r="L41" s="16" t="s">
        <v>50</v>
      </c>
    </row>
    <row r="42" spans="1:12" x14ac:dyDescent="0.25">
      <c r="A42" s="1" t="s">
        <v>25</v>
      </c>
      <c r="B42" s="8"/>
      <c r="C42" s="8"/>
      <c r="D42" s="31">
        <v>0</v>
      </c>
      <c r="E42" s="31">
        <v>1.03</v>
      </c>
      <c r="F42" s="31">
        <v>2.57</v>
      </c>
      <c r="G42" s="31">
        <v>0</v>
      </c>
      <c r="H42" s="31">
        <v>0</v>
      </c>
      <c r="I42" s="14"/>
      <c r="J42" s="10"/>
      <c r="K42" s="10"/>
      <c r="L42" s="16" t="str">
        <f>_xlfn.CONCAT("Total Additional FC usage = $",SUM(D42:G42), "M")</f>
        <v>Total Additional FC usage = $3.6M</v>
      </c>
    </row>
    <row r="43" spans="1:12" x14ac:dyDescent="0.25">
      <c r="A43" s="1"/>
      <c r="B43" s="8"/>
      <c r="C43" s="8"/>
      <c r="D43" s="4"/>
      <c r="E43" s="4"/>
      <c r="F43" s="4"/>
      <c r="G43" s="4"/>
      <c r="H43" s="4"/>
      <c r="I43" s="14"/>
      <c r="J43" s="14"/>
      <c r="K43" s="14"/>
    </row>
    <row r="44" spans="1:12" x14ac:dyDescent="0.25">
      <c r="A44" s="17" t="s">
        <v>18</v>
      </c>
      <c r="B44" s="36"/>
      <c r="C44" s="36"/>
      <c r="D44" s="36">
        <f>D38+SUM(D41:D42)</f>
        <v>0.54899199999998682</v>
      </c>
      <c r="E44" s="36">
        <f>E38+SUM(E41:E42)</f>
        <v>5.4533599999828652E-3</v>
      </c>
      <c r="F44" s="36">
        <f>F38+SUM(F41:F42)</f>
        <v>8.4512033749408744E-3</v>
      </c>
      <c r="G44" s="36">
        <f>G38+SUM(G41:G42)</f>
        <v>-3.298552681574856</v>
      </c>
      <c r="H44" s="36">
        <f>H38+SUM(H41:H42)</f>
        <v>-3.5746643805688976</v>
      </c>
      <c r="I44" s="37"/>
      <c r="J44" s="37"/>
      <c r="K44" s="37"/>
      <c r="L44" s="41" t="s">
        <v>56</v>
      </c>
    </row>
    <row r="45" spans="1:12" x14ac:dyDescent="0.25">
      <c r="A45" s="1"/>
      <c r="B45" s="7"/>
      <c r="C45" s="3"/>
      <c r="D45" s="3"/>
      <c r="E45" s="3"/>
      <c r="F45" s="3"/>
      <c r="G45" s="3"/>
      <c r="H45" s="3"/>
      <c r="I45" s="3"/>
    </row>
    <row r="46" spans="1:12" x14ac:dyDescent="0.25">
      <c r="A46" s="48"/>
      <c r="B46" s="49"/>
      <c r="C46" s="52"/>
      <c r="D46" s="49"/>
      <c r="E46" s="49"/>
      <c r="F46" s="49"/>
      <c r="G46" s="50"/>
      <c r="H46" s="50"/>
      <c r="I46" s="50"/>
      <c r="J46" s="51"/>
      <c r="K46" s="51"/>
    </row>
    <row r="47" spans="1:12" x14ac:dyDescent="0.25">
      <c r="A47" s="48"/>
      <c r="B47" s="49"/>
      <c r="C47" s="49"/>
      <c r="D47" s="49"/>
      <c r="E47" s="49"/>
      <c r="F47" s="49"/>
      <c r="G47" s="50"/>
      <c r="H47" s="50"/>
      <c r="I47" s="50"/>
      <c r="J47" s="51"/>
      <c r="K47" s="51"/>
    </row>
    <row r="48" spans="1:12" x14ac:dyDescent="0.25">
      <c r="A48" s="39"/>
      <c r="B48" s="51"/>
      <c r="C48" s="51"/>
    </row>
    <row r="49" spans="1:12" ht="31.5" x14ac:dyDescent="0.25">
      <c r="A49" s="42" t="s">
        <v>22</v>
      </c>
      <c r="B49" s="68"/>
      <c r="C49" s="85"/>
      <c r="D49" s="85" t="s">
        <v>0</v>
      </c>
      <c r="E49" s="85" t="s">
        <v>1</v>
      </c>
      <c r="F49" s="85" t="s">
        <v>2</v>
      </c>
      <c r="G49" s="86" t="s">
        <v>30</v>
      </c>
      <c r="H49" s="87" t="s">
        <v>63</v>
      </c>
    </row>
    <row r="50" spans="1:12" x14ac:dyDescent="0.25">
      <c r="A50" s="18" t="s">
        <v>37</v>
      </c>
      <c r="B50" s="93">
        <v>3</v>
      </c>
      <c r="C50" s="68"/>
      <c r="D50" s="68"/>
      <c r="E50" s="68"/>
      <c r="F50" s="68"/>
      <c r="G50" s="68"/>
      <c r="H50" s="43"/>
    </row>
    <row r="51" spans="1:12" x14ac:dyDescent="0.25">
      <c r="A51" s="20" t="s">
        <v>23</v>
      </c>
      <c r="B51" s="83">
        <v>0.03</v>
      </c>
      <c r="C51" s="94"/>
      <c r="D51" s="94"/>
      <c r="E51" s="94"/>
      <c r="F51" s="94"/>
      <c r="G51" s="94"/>
      <c r="H51" s="92"/>
    </row>
    <row r="52" spans="1:12" x14ac:dyDescent="0.25">
      <c r="A52" s="21" t="s">
        <v>58</v>
      </c>
      <c r="B52" s="66"/>
      <c r="C52" s="91"/>
      <c r="D52" s="88">
        <v>1.5</v>
      </c>
      <c r="E52" s="88">
        <v>0</v>
      </c>
      <c r="F52" s="88">
        <v>0</v>
      </c>
      <c r="G52" s="88">
        <v>0</v>
      </c>
      <c r="H52" s="89">
        <v>0</v>
      </c>
    </row>
    <row r="53" spans="1:12" x14ac:dyDescent="0.25">
      <c r="H53" s="81"/>
    </row>
    <row r="54" spans="1:12" x14ac:dyDescent="0.25">
      <c r="A54" s="42" t="s">
        <v>52</v>
      </c>
      <c r="B54" s="29"/>
    </row>
    <row r="55" spans="1:12" x14ac:dyDescent="0.25">
      <c r="A55" s="19" t="s">
        <v>57</v>
      </c>
      <c r="B55" s="38">
        <v>11.77</v>
      </c>
    </row>
    <row r="56" spans="1:12" x14ac:dyDescent="0.25">
      <c r="A56" t="s">
        <v>19</v>
      </c>
      <c r="B56" s="9">
        <f>-B15</f>
        <v>-3</v>
      </c>
    </row>
    <row r="57" spans="1:12" x14ac:dyDescent="0.25">
      <c r="A57" t="s">
        <v>55</v>
      </c>
      <c r="B57" s="3">
        <f>-B51*C23</f>
        <v>-4.1744700000000003</v>
      </c>
    </row>
    <row r="58" spans="1:12" x14ac:dyDescent="0.25">
      <c r="A58" t="s">
        <v>89</v>
      </c>
      <c r="B58" s="9">
        <f>-SUM(D52:H52)</f>
        <v>-1.5</v>
      </c>
    </row>
    <row r="59" spans="1:12" x14ac:dyDescent="0.25">
      <c r="A59" s="22" t="s">
        <v>94</v>
      </c>
      <c r="B59" s="30">
        <f>SUM(B55:B58)</f>
        <v>3.0955299999999992</v>
      </c>
    </row>
    <row r="61" spans="1:12" ht="31.5" x14ac:dyDescent="0.25">
      <c r="A61" s="23" t="s">
        <v>90</v>
      </c>
      <c r="B61" s="24"/>
      <c r="C61" s="24"/>
      <c r="D61" s="27" t="s">
        <v>0</v>
      </c>
      <c r="E61" s="27" t="s">
        <v>1</v>
      </c>
      <c r="F61" s="27" t="s">
        <v>2</v>
      </c>
      <c r="G61" s="24" t="s">
        <v>30</v>
      </c>
      <c r="H61" s="24" t="s">
        <v>63</v>
      </c>
      <c r="I61" s="28"/>
      <c r="J61" s="26"/>
      <c r="K61" s="26"/>
      <c r="L61" s="26" t="s">
        <v>10</v>
      </c>
    </row>
    <row r="62" spans="1:12" x14ac:dyDescent="0.25">
      <c r="A62" s="1" t="s">
        <v>91</v>
      </c>
      <c r="D62" s="55">
        <f>B59</f>
        <v>3.0955299999999992</v>
      </c>
      <c r="E62" s="6"/>
      <c r="F62" s="6"/>
      <c r="G62" s="6"/>
      <c r="H62" s="6"/>
    </row>
    <row r="63" spans="1:12" x14ac:dyDescent="0.25">
      <c r="A63" s="1" t="s">
        <v>93</v>
      </c>
      <c r="D63" s="6">
        <f>D62</f>
        <v>3.0955299999999992</v>
      </c>
      <c r="E63" s="6">
        <f>D66</f>
        <v>3.6445219999999861</v>
      </c>
      <c r="F63" s="6">
        <f>E66</f>
        <v>2.6199753599999687</v>
      </c>
      <c r="G63" s="6">
        <f>F66</f>
        <v>5.8426563374909701E-2</v>
      </c>
      <c r="H63" s="6">
        <f>G66</f>
        <v>-3.2401261181999463</v>
      </c>
    </row>
    <row r="64" spans="1:12" x14ac:dyDescent="0.25">
      <c r="A64" s="1" t="s">
        <v>33</v>
      </c>
      <c r="D64" s="55">
        <f>-D42</f>
        <v>0</v>
      </c>
      <c r="E64" s="55">
        <f t="shared" ref="E64:H64" si="16">-E42</f>
        <v>-1.03</v>
      </c>
      <c r="F64" s="55">
        <f t="shared" si="16"/>
        <v>-2.57</v>
      </c>
      <c r="G64" s="55">
        <f t="shared" si="16"/>
        <v>0</v>
      </c>
      <c r="H64" s="55">
        <f t="shared" si="16"/>
        <v>0</v>
      </c>
    </row>
    <row r="65" spans="1:12" x14ac:dyDescent="0.25">
      <c r="A65" s="1" t="s">
        <v>88</v>
      </c>
      <c r="C65" s="3"/>
      <c r="D65" s="55">
        <f>D44</f>
        <v>0.54899199999998682</v>
      </c>
      <c r="E65" s="55">
        <f t="shared" ref="E65:H65" si="17">E44</f>
        <v>5.4533599999828652E-3</v>
      </c>
      <c r="F65" s="55">
        <f t="shared" si="17"/>
        <v>8.4512033749408744E-3</v>
      </c>
      <c r="G65" s="55">
        <f t="shared" si="17"/>
        <v>-3.298552681574856</v>
      </c>
      <c r="H65" s="55">
        <f t="shared" si="17"/>
        <v>-3.5746643805688976</v>
      </c>
    </row>
    <row r="66" spans="1:12" x14ac:dyDescent="0.25">
      <c r="A66" s="17" t="s">
        <v>92</v>
      </c>
      <c r="B66" s="57"/>
      <c r="C66" s="57"/>
      <c r="D66" s="58">
        <f>SUM(D63:D65)</f>
        <v>3.6445219999999861</v>
      </c>
      <c r="E66" s="58">
        <f>SUM(E63:E65)</f>
        <v>2.6199753599999687</v>
      </c>
      <c r="F66" s="58">
        <f>SUM(F63:F65)</f>
        <v>5.8426563374909701E-2</v>
      </c>
      <c r="G66" s="58">
        <f>SUM(G63:G65)</f>
        <v>-3.2401261181999463</v>
      </c>
      <c r="H66" s="58">
        <f>SUM(H63:H65)</f>
        <v>-6.8147904987688435</v>
      </c>
      <c r="I66" s="56"/>
      <c r="J66" s="56"/>
      <c r="K66" s="56"/>
      <c r="L66" s="41" t="s">
        <v>95</v>
      </c>
    </row>
    <row r="67" spans="1:12" x14ac:dyDescent="0.25">
      <c r="A67" s="39"/>
      <c r="B67" s="51"/>
      <c r="C67" s="51"/>
    </row>
    <row r="68" spans="1:12" x14ac:dyDescent="0.25">
      <c r="A68" s="39"/>
      <c r="B68" s="51"/>
      <c r="C68" s="51"/>
    </row>
    <row r="69" spans="1:12" x14ac:dyDescent="0.25">
      <c r="A69" s="39"/>
      <c r="B69" s="51"/>
      <c r="C69" s="51"/>
    </row>
    <row r="70" spans="1:12" x14ac:dyDescent="0.25">
      <c r="A70" s="39"/>
      <c r="B70" s="51"/>
      <c r="C70" s="51"/>
    </row>
    <row r="71" spans="1:12" x14ac:dyDescent="0.25">
      <c r="A71" s="39"/>
      <c r="B71" s="51"/>
      <c r="C71" s="51"/>
    </row>
    <row r="73" spans="1:12" ht="31.5" x14ac:dyDescent="0.25">
      <c r="A73" s="23" t="s">
        <v>6</v>
      </c>
      <c r="B73" s="24"/>
      <c r="C73" s="24"/>
      <c r="D73" s="27" t="s">
        <v>0</v>
      </c>
      <c r="E73" s="27" t="s">
        <v>1</v>
      </c>
      <c r="F73" s="27" t="s">
        <v>2</v>
      </c>
      <c r="G73" s="24" t="s">
        <v>30</v>
      </c>
      <c r="H73" s="24" t="s">
        <v>63</v>
      </c>
      <c r="I73" s="28"/>
      <c r="J73" s="26"/>
      <c r="K73" s="26"/>
      <c r="L73" s="26" t="s">
        <v>10</v>
      </c>
    </row>
    <row r="74" spans="1:12" x14ac:dyDescent="0.25">
      <c r="A74" s="1" t="s">
        <v>87</v>
      </c>
      <c r="E74" s="55">
        <f>$B50</f>
        <v>3</v>
      </c>
      <c r="F74" s="55">
        <f>$B50</f>
        <v>3</v>
      </c>
      <c r="G74" s="55">
        <f>$B50</f>
        <v>3</v>
      </c>
      <c r="H74" s="55">
        <f>$B50</f>
        <v>3</v>
      </c>
      <c r="I74" s="10"/>
      <c r="J74" s="16"/>
      <c r="K74" s="16"/>
      <c r="L74" s="16"/>
    </row>
    <row r="75" spans="1:12" x14ac:dyDescent="0.25">
      <c r="A75" s="1" t="s">
        <v>88</v>
      </c>
      <c r="C75" s="3"/>
      <c r="E75" s="6">
        <f>D44</f>
        <v>0.54899199999998682</v>
      </c>
      <c r="F75" s="6">
        <f>E44</f>
        <v>5.4533599999828652E-3</v>
      </c>
      <c r="G75" s="6">
        <f>F44</f>
        <v>8.4512033749408744E-3</v>
      </c>
      <c r="H75" s="6">
        <f>G44</f>
        <v>-3.298552681574856</v>
      </c>
      <c r="L75" s="16"/>
    </row>
    <row r="76" spans="1:12" x14ac:dyDescent="0.25">
      <c r="A76" s="1" t="s">
        <v>86</v>
      </c>
      <c r="C76" s="3"/>
      <c r="D76" s="55">
        <f>B55</f>
        <v>11.77</v>
      </c>
      <c r="E76" s="3">
        <f>D81+E74+E75</f>
        <v>10.818991999999987</v>
      </c>
      <c r="F76" s="3">
        <f>E81+F74+F75</f>
        <v>9.794445359999969</v>
      </c>
      <c r="G76" s="3">
        <f>F81+G74+G75</f>
        <v>7.2328965633749096</v>
      </c>
      <c r="H76" s="3">
        <f>G81+H74+H75</f>
        <v>3.9343438818000536</v>
      </c>
      <c r="L76" s="16" t="s">
        <v>85</v>
      </c>
    </row>
    <row r="77" spans="1:12" x14ac:dyDescent="0.25">
      <c r="A77" s="1" t="s">
        <v>58</v>
      </c>
      <c r="C77" s="3"/>
      <c r="D77" s="55">
        <f>-D52</f>
        <v>-1.5</v>
      </c>
      <c r="E77" s="55">
        <f>-E52</f>
        <v>0</v>
      </c>
      <c r="F77" s="55">
        <f>-F52</f>
        <v>0</v>
      </c>
      <c r="G77" s="55">
        <f>-G52</f>
        <v>0</v>
      </c>
      <c r="H77" s="55">
        <f>-H52</f>
        <v>0</v>
      </c>
      <c r="L77" s="16" t="s">
        <v>32</v>
      </c>
    </row>
    <row r="78" spans="1:12" x14ac:dyDescent="0.25">
      <c r="A78" s="1" t="s">
        <v>36</v>
      </c>
      <c r="C78" s="3"/>
      <c r="D78" s="3">
        <f t="shared" ref="D78:H79" si="18">-D21</f>
        <v>-0.55000000000000004</v>
      </c>
      <c r="E78" s="3">
        <f t="shared" si="18"/>
        <v>-0.55000000000000004</v>
      </c>
      <c r="F78" s="3">
        <f t="shared" si="18"/>
        <v>-0.55000000000000004</v>
      </c>
      <c r="G78" s="3">
        <f t="shared" si="18"/>
        <v>-0.55000000000000004</v>
      </c>
      <c r="H78" s="3">
        <f t="shared" si="18"/>
        <v>-0.55000000000000004</v>
      </c>
    </row>
    <row r="79" spans="1:12" x14ac:dyDescent="0.25">
      <c r="A79" s="1" t="s">
        <v>35</v>
      </c>
      <c r="C79" s="3"/>
      <c r="D79" s="3">
        <f t="shared" si="18"/>
        <v>-2.4500000000000002</v>
      </c>
      <c r="E79" s="3">
        <f t="shared" si="18"/>
        <v>-2.4500000000000002</v>
      </c>
      <c r="F79" s="3">
        <f t="shared" si="18"/>
        <v>-2.4500000000000002</v>
      </c>
      <c r="G79" s="3">
        <f t="shared" si="18"/>
        <v>-2.4500000000000002</v>
      </c>
      <c r="H79" s="3">
        <f t="shared" si="18"/>
        <v>-2.4500000000000002</v>
      </c>
    </row>
    <row r="80" spans="1:12" x14ac:dyDescent="0.25">
      <c r="A80" s="1" t="s">
        <v>33</v>
      </c>
      <c r="D80" s="55">
        <f>-D42</f>
        <v>0</v>
      </c>
      <c r="E80" s="55">
        <f>-E42</f>
        <v>-1.03</v>
      </c>
      <c r="F80" s="55">
        <f>-F42</f>
        <v>-2.57</v>
      </c>
      <c r="G80" s="55">
        <f>-G42</f>
        <v>0</v>
      </c>
      <c r="H80" s="55">
        <f>-H42</f>
        <v>0</v>
      </c>
    </row>
    <row r="81" spans="1:12" x14ac:dyDescent="0.25">
      <c r="A81" s="17" t="s">
        <v>34</v>
      </c>
      <c r="B81" s="57"/>
      <c r="C81" s="57"/>
      <c r="D81" s="58">
        <f>SUM(D76:D80)</f>
        <v>7.2699999999999987</v>
      </c>
      <c r="E81" s="58">
        <f>SUM(E76:E80)</f>
        <v>6.7889919999999861</v>
      </c>
      <c r="F81" s="58">
        <f>SUM(F76:F80)</f>
        <v>4.2244453599999687</v>
      </c>
      <c r="G81" s="58">
        <f>SUM(G76:G80)</f>
        <v>4.2328965633749096</v>
      </c>
      <c r="H81" s="58">
        <f>SUM(H76:H80)</f>
        <v>0.93434388180005357</v>
      </c>
      <c r="I81" s="56"/>
      <c r="J81" s="56"/>
      <c r="K81" s="56"/>
      <c r="L81" s="41" t="s">
        <v>54</v>
      </c>
    </row>
    <row r="82" spans="1:12" x14ac:dyDescent="0.25">
      <c r="I82" s="19"/>
      <c r="J82" s="19"/>
      <c r="K82" s="19"/>
    </row>
    <row r="83" spans="1:12" x14ac:dyDescent="0.25">
      <c r="A83" s="39" t="s">
        <v>53</v>
      </c>
      <c r="C83" s="39"/>
      <c r="D83" s="40">
        <f>$B$51*C23</f>
        <v>4.1744700000000003</v>
      </c>
      <c r="E83" s="40">
        <f>$B$51*D23</f>
        <v>4.0192800000000002</v>
      </c>
      <c r="F83" s="40">
        <f>$B$51*E23</f>
        <v>4.1347347599999997</v>
      </c>
      <c r="G83" s="40">
        <f>$B$51*F23</f>
        <v>4.2538575640799987</v>
      </c>
      <c r="H83" s="40">
        <f>$B$51*G23</f>
        <v>4.3954293793239749</v>
      </c>
    </row>
  </sheetData>
  <conditionalFormatting sqref="D44">
    <cfRule type="expression" dxfId="64" priority="31">
      <formula>$D$44&lt;0</formula>
    </cfRule>
  </conditionalFormatting>
  <conditionalFormatting sqref="D81">
    <cfRule type="expression" dxfId="63" priority="26">
      <formula>$D$81&lt;$D$83</formula>
    </cfRule>
  </conditionalFormatting>
  <conditionalFormatting sqref="E44">
    <cfRule type="expression" dxfId="62" priority="30">
      <formula>$E$44&lt;0</formula>
    </cfRule>
  </conditionalFormatting>
  <conditionalFormatting sqref="E81">
    <cfRule type="expression" dxfId="61" priority="25">
      <formula>$E$81&lt;$E$83</formula>
    </cfRule>
  </conditionalFormatting>
  <conditionalFormatting sqref="F44">
    <cfRule type="expression" dxfId="60" priority="29">
      <formula>$F$44&lt;0</formula>
    </cfRule>
  </conditionalFormatting>
  <conditionalFormatting sqref="F81">
    <cfRule type="expression" dxfId="59" priority="24">
      <formula>$F$81&lt;$F$83</formula>
    </cfRule>
  </conditionalFormatting>
  <conditionalFormatting sqref="G81">
    <cfRule type="expression" dxfId="58" priority="23">
      <formula>$G$81&lt;$G$83</formula>
    </cfRule>
  </conditionalFormatting>
  <conditionalFormatting sqref="G44:H44">
    <cfRule type="expression" dxfId="57" priority="28">
      <formula>$G$44&lt;0</formula>
    </cfRule>
  </conditionalFormatting>
  <conditionalFormatting sqref="H81">
    <cfRule type="expression" dxfId="56" priority="22">
      <formula>$H$81&lt;$H$83</formula>
    </cfRule>
  </conditionalFormatting>
  <conditionalFormatting sqref="D66">
    <cfRule type="expression" dxfId="55" priority="5">
      <formula>$D$66&lt;0</formula>
    </cfRule>
    <cfRule type="expression" dxfId="54" priority="10">
      <formula>$D$49&lt;0</formula>
    </cfRule>
    <cfRule type="expression" dxfId="53" priority="11">
      <formula>#REF!&lt;0</formula>
    </cfRule>
    <cfRule type="expression" dxfId="52" priority="20">
      <formula>#REF!&lt;0</formula>
    </cfRule>
  </conditionalFormatting>
  <conditionalFormatting sqref="D66:H66">
    <cfRule type="expression" dxfId="51" priority="21">
      <formula>#REF!&lt;#REF!</formula>
    </cfRule>
  </conditionalFormatting>
  <conditionalFormatting sqref="E66">
    <cfRule type="expression" dxfId="50" priority="4">
      <formula>$E$66&lt;0</formula>
    </cfRule>
    <cfRule type="expression" dxfId="49" priority="9">
      <formula>$E$49&lt;0</formula>
    </cfRule>
    <cfRule type="expression" dxfId="48" priority="12">
      <formula>#REF!&lt;0</formula>
    </cfRule>
    <cfRule type="expression" dxfId="47" priority="19">
      <formula>#REF!&lt;0</formula>
    </cfRule>
  </conditionalFormatting>
  <conditionalFormatting sqref="F66">
    <cfRule type="expression" dxfId="46" priority="3">
      <formula>$F$66&lt;0</formula>
    </cfRule>
    <cfRule type="expression" dxfId="45" priority="8">
      <formula>$F$49&lt;0</formula>
    </cfRule>
    <cfRule type="expression" dxfId="44" priority="13">
      <formula>#REF!&lt;0</formula>
    </cfRule>
    <cfRule type="expression" dxfId="43" priority="18">
      <formula>#REF!&lt;0</formula>
    </cfRule>
  </conditionalFormatting>
  <conditionalFormatting sqref="G66">
    <cfRule type="expression" dxfId="42" priority="2">
      <formula>$G$66&lt;0</formula>
    </cfRule>
    <cfRule type="expression" dxfId="41" priority="7">
      <formula>$G$49&lt;0</formula>
    </cfRule>
    <cfRule type="expression" dxfId="40" priority="14">
      <formula>#REF!&lt;0</formula>
    </cfRule>
    <cfRule type="expression" dxfId="39" priority="17">
      <formula>#REF!&lt;0</formula>
    </cfRule>
  </conditionalFormatting>
  <conditionalFormatting sqref="H66">
    <cfRule type="expression" dxfId="38" priority="1">
      <formula>$H$66&lt;0</formula>
    </cfRule>
    <cfRule type="expression" dxfId="37" priority="6">
      <formula>$H$49&lt;0</formula>
    </cfRule>
    <cfRule type="expression" dxfId="36" priority="15">
      <formula>#REF!&lt;0</formula>
    </cfRule>
    <cfRule type="expression" dxfId="35" priority="16">
      <formula>#REF!&lt;0</formula>
    </cfRule>
  </conditionalFormatting>
  <pageMargins left="0.7" right="0.7" top="0.75" bottom="0.75" header="0.3" footer="0.3"/>
  <pageSetup scale="44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77624-E40D-DF47-B18D-16DE8A7A8BDA}">
  <sheetPr>
    <pageSetUpPr fitToPage="1"/>
  </sheetPr>
  <dimension ref="A1:L81"/>
  <sheetViews>
    <sheetView zoomScaleNormal="100" workbookViewId="0">
      <selection activeCell="A2" sqref="A2"/>
    </sheetView>
  </sheetViews>
  <sheetFormatPr defaultColWidth="11" defaultRowHeight="15.75" x14ac:dyDescent="0.25"/>
  <cols>
    <col min="1" max="1" width="55.125" customWidth="1"/>
    <col min="2" max="2" width="8.375" customWidth="1"/>
    <col min="3" max="8" width="9.625" customWidth="1"/>
    <col min="9" max="11" width="8.375" customWidth="1"/>
    <col min="12" max="12" width="52" customWidth="1"/>
  </cols>
  <sheetData>
    <row r="1" spans="1:12" s="1" customFormat="1" ht="18.75" x14ac:dyDescent="0.3">
      <c r="A1" s="44" t="s">
        <v>100</v>
      </c>
    </row>
    <row r="2" spans="1:12" ht="12.95" customHeight="1" x14ac:dyDescent="0.25">
      <c r="A2" s="33" t="s">
        <v>21</v>
      </c>
    </row>
    <row r="3" spans="1:12" ht="12.95" customHeight="1" x14ac:dyDescent="0.25">
      <c r="A3" s="33" t="s">
        <v>29</v>
      </c>
    </row>
    <row r="4" spans="1:12" ht="12.95" customHeight="1" x14ac:dyDescent="0.25">
      <c r="A4" s="33" t="s">
        <v>59</v>
      </c>
    </row>
    <row r="6" spans="1:12" x14ac:dyDescent="0.25">
      <c r="A6" s="42" t="s">
        <v>20</v>
      </c>
      <c r="B6" s="62"/>
      <c r="C6" s="62"/>
      <c r="D6" s="62"/>
      <c r="E6" s="62" t="s">
        <v>65</v>
      </c>
      <c r="F6" s="62" t="s">
        <v>66</v>
      </c>
      <c r="G6" s="62" t="s">
        <v>67</v>
      </c>
      <c r="H6" s="60" t="s">
        <v>68</v>
      </c>
    </row>
    <row r="7" spans="1:12" x14ac:dyDescent="0.25">
      <c r="A7" s="18" t="s">
        <v>75</v>
      </c>
      <c r="B7" s="68"/>
      <c r="C7" s="69"/>
      <c r="D7" s="68"/>
      <c r="E7" s="64">
        <v>3.3000000000000002E-2</v>
      </c>
      <c r="F7" s="64">
        <v>3.3000000000000002E-2</v>
      </c>
      <c r="G7" s="64">
        <v>3.7499999999999999E-2</v>
      </c>
      <c r="H7" s="65">
        <v>0.04</v>
      </c>
    </row>
    <row r="8" spans="1:12" x14ac:dyDescent="0.25">
      <c r="A8" s="20" t="s">
        <v>76</v>
      </c>
      <c r="B8" s="70"/>
      <c r="C8" s="71"/>
      <c r="D8" s="70"/>
      <c r="E8" s="61">
        <v>1.2999999999999999E-2</v>
      </c>
      <c r="F8" s="61">
        <v>1.2999999999999999E-2</v>
      </c>
      <c r="G8" s="61">
        <v>1.4999999999999999E-2</v>
      </c>
      <c r="H8" s="45">
        <v>1.4999999999999999E-2</v>
      </c>
    </row>
    <row r="9" spans="1:12" x14ac:dyDescent="0.25">
      <c r="A9" s="21" t="s">
        <v>77</v>
      </c>
      <c r="B9" s="66"/>
      <c r="C9" s="73"/>
      <c r="D9" s="66"/>
      <c r="E9" s="74">
        <v>5.0000000000000001E-3</v>
      </c>
      <c r="F9" s="74">
        <v>5.0000000000000001E-3</v>
      </c>
      <c r="G9" s="74">
        <v>1.4999999999999999E-2</v>
      </c>
      <c r="H9" s="75">
        <v>2.5000000000000001E-2</v>
      </c>
    </row>
    <row r="10" spans="1:12" x14ac:dyDescent="0.25">
      <c r="A10" s="18" t="s">
        <v>60</v>
      </c>
      <c r="B10" s="68"/>
      <c r="C10" s="69"/>
      <c r="D10" s="68"/>
      <c r="E10" s="64">
        <v>0.05</v>
      </c>
      <c r="F10" s="64">
        <v>4.7500000000000001E-2</v>
      </c>
      <c r="G10" s="64">
        <v>4.4999999999999998E-2</v>
      </c>
      <c r="H10" s="65">
        <v>4.4999999999999998E-2</v>
      </c>
    </row>
    <row r="11" spans="1:12" x14ac:dyDescent="0.25">
      <c r="A11" s="20" t="s">
        <v>73</v>
      </c>
      <c r="B11" s="70"/>
      <c r="C11" s="71"/>
      <c r="D11" s="70"/>
      <c r="E11" s="61">
        <v>6.5000000000000002E-2</v>
      </c>
      <c r="F11" s="61">
        <v>6.25E-2</v>
      </c>
      <c r="G11" s="61">
        <v>0.06</v>
      </c>
      <c r="H11" s="45">
        <v>0.06</v>
      </c>
    </row>
    <row r="12" spans="1:12" x14ac:dyDescent="0.25">
      <c r="A12" s="20" t="s">
        <v>74</v>
      </c>
      <c r="B12" s="70"/>
      <c r="C12" s="71"/>
      <c r="D12" s="70"/>
      <c r="E12" s="61">
        <v>2.5000000000000001E-2</v>
      </c>
      <c r="F12" s="61">
        <v>2.5000000000000001E-2</v>
      </c>
      <c r="G12" s="61">
        <v>2.5000000000000001E-2</v>
      </c>
      <c r="H12" s="45">
        <v>2.5000000000000001E-2</v>
      </c>
    </row>
    <row r="13" spans="1:12" x14ac:dyDescent="0.25">
      <c r="A13" s="20" t="s">
        <v>70</v>
      </c>
      <c r="B13" s="70"/>
      <c r="C13" s="71"/>
      <c r="D13" s="70"/>
      <c r="E13" s="61">
        <v>2.5000000000000001E-2</v>
      </c>
      <c r="F13" s="61">
        <v>2.5000000000000001E-2</v>
      </c>
      <c r="G13" s="61">
        <v>2.5000000000000001E-2</v>
      </c>
      <c r="H13" s="45">
        <v>2.5000000000000001E-2</v>
      </c>
    </row>
    <row r="14" spans="1:12" x14ac:dyDescent="0.25">
      <c r="A14" s="21" t="s">
        <v>71</v>
      </c>
      <c r="B14" s="66"/>
      <c r="C14" s="73"/>
      <c r="D14" s="66"/>
      <c r="E14" s="74">
        <v>3.9E-2</v>
      </c>
      <c r="F14" s="74">
        <v>3.9E-2</v>
      </c>
      <c r="G14" s="74">
        <v>3.5000000000000003E-2</v>
      </c>
      <c r="H14" s="75">
        <v>0.03</v>
      </c>
    </row>
    <row r="15" spans="1:12" x14ac:dyDescent="0.25">
      <c r="A15" s="21" t="s">
        <v>19</v>
      </c>
      <c r="B15" s="63">
        <v>3</v>
      </c>
      <c r="C15" s="66"/>
      <c r="D15" s="66"/>
      <c r="E15" s="66"/>
      <c r="F15" s="66"/>
      <c r="G15" s="66"/>
      <c r="H15" s="67"/>
      <c r="L15" s="16" t="s">
        <v>51</v>
      </c>
    </row>
    <row r="17" spans="1:12" ht="31.5" x14ac:dyDescent="0.25">
      <c r="A17" s="23" t="s">
        <v>43</v>
      </c>
      <c r="B17" s="24" t="s">
        <v>45</v>
      </c>
      <c r="C17" s="24" t="s">
        <v>24</v>
      </c>
      <c r="D17" s="24" t="s">
        <v>0</v>
      </c>
      <c r="E17" s="24" t="s">
        <v>1</v>
      </c>
      <c r="F17" s="24" t="s">
        <v>2</v>
      </c>
      <c r="G17" s="24" t="s">
        <v>30</v>
      </c>
      <c r="H17" s="24" t="s">
        <v>63</v>
      </c>
      <c r="I17" s="25" t="s">
        <v>12</v>
      </c>
      <c r="J17" s="25" t="s">
        <v>11</v>
      </c>
      <c r="K17" s="25" t="s">
        <v>69</v>
      </c>
      <c r="L17" s="26" t="s">
        <v>10</v>
      </c>
    </row>
    <row r="18" spans="1:12" x14ac:dyDescent="0.25">
      <c r="A18" s="1" t="s">
        <v>3</v>
      </c>
      <c r="B18" s="3">
        <v>102.786</v>
      </c>
      <c r="C18" s="3">
        <v>106.319</v>
      </c>
      <c r="D18" s="3">
        <v>109.837</v>
      </c>
      <c r="E18" s="9">
        <f t="shared" ref="E18:H20" si="0">D18*(1+E7)</f>
        <v>113.46162099999999</v>
      </c>
      <c r="F18" s="9">
        <f t="shared" si="0"/>
        <v>117.20585449299999</v>
      </c>
      <c r="G18" s="9">
        <f t="shared" si="0"/>
        <v>121.6010740364875</v>
      </c>
      <c r="H18" s="9">
        <f t="shared" si="0"/>
        <v>126.46511699794701</v>
      </c>
      <c r="I18" s="10">
        <f t="shared" ref="I18:I23" si="1">RATE(3,,-C18,F18)</f>
        <v>3.3029699074337844E-2</v>
      </c>
      <c r="J18" s="10">
        <f t="shared" ref="J18:J23" si="2">RATE(2,,-D18,F18)</f>
        <v>3.3000000002103493E-2</v>
      </c>
      <c r="K18" s="10">
        <f t="shared" ref="K18:K23" si="3">RATE(2,,-F18,H18)</f>
        <v>3.8749247894848252E-2</v>
      </c>
      <c r="L18" s="15" t="s">
        <v>46</v>
      </c>
    </row>
    <row r="19" spans="1:12" x14ac:dyDescent="0.25">
      <c r="A19" s="1" t="s">
        <v>4</v>
      </c>
      <c r="B19" s="3">
        <v>12.856999999999999</v>
      </c>
      <c r="C19" s="3">
        <v>14.608000000000001</v>
      </c>
      <c r="D19" s="3">
        <f>14.772</f>
        <v>14.772</v>
      </c>
      <c r="E19" s="9">
        <f t="shared" si="0"/>
        <v>14.964035999999998</v>
      </c>
      <c r="F19" s="9">
        <f t="shared" si="0"/>
        <v>15.158568467999997</v>
      </c>
      <c r="G19" s="9">
        <f t="shared" si="0"/>
        <v>15.385946995019996</v>
      </c>
      <c r="H19" s="9">
        <f t="shared" si="0"/>
        <v>15.616736199945294</v>
      </c>
      <c r="I19" s="10">
        <f t="shared" si="1"/>
        <v>1.2408563119353495E-2</v>
      </c>
      <c r="J19" s="10">
        <f t="shared" si="2"/>
        <v>1.2999999999999831E-2</v>
      </c>
      <c r="K19" s="10">
        <f t="shared" si="3"/>
        <v>1.4999999999999823E-2</v>
      </c>
      <c r="L19" s="15" t="s">
        <v>46</v>
      </c>
    </row>
    <row r="20" spans="1:12" x14ac:dyDescent="0.25">
      <c r="A20" s="1" t="s">
        <v>27</v>
      </c>
      <c r="B20" s="3">
        <f>10.8+0.368+1.388-2.919</f>
        <v>9.6370000000000005</v>
      </c>
      <c r="C20" s="3">
        <v>7.976</v>
      </c>
      <c r="D20" s="3">
        <v>6.367</v>
      </c>
      <c r="E20" s="9">
        <f t="shared" si="0"/>
        <v>6.3988349999999992</v>
      </c>
      <c r="F20" s="9">
        <f t="shared" si="0"/>
        <v>6.4308291749999986</v>
      </c>
      <c r="G20" s="9">
        <f t="shared" si="0"/>
        <v>6.5272916126249978</v>
      </c>
      <c r="H20" s="9">
        <f t="shared" si="0"/>
        <v>6.6904739029406217</v>
      </c>
      <c r="I20" s="10">
        <f t="shared" si="1"/>
        <v>-6.9262363353903345E-2</v>
      </c>
      <c r="J20" s="10">
        <f t="shared" si="2"/>
        <v>4.999999999999955E-3</v>
      </c>
      <c r="K20" s="10">
        <f t="shared" si="3"/>
        <v>1.9987745024419124E-2</v>
      </c>
      <c r="L20" s="15" t="s">
        <v>46</v>
      </c>
    </row>
    <row r="21" spans="1:12" x14ac:dyDescent="0.25">
      <c r="A21" s="1" t="s">
        <v>28</v>
      </c>
      <c r="B21" s="4">
        <v>0.55000000000000004</v>
      </c>
      <c r="C21" s="4">
        <v>0.55000000000000004</v>
      </c>
      <c r="D21" s="4">
        <v>0.55000000000000004</v>
      </c>
      <c r="E21" s="4">
        <v>0.55000000000000004</v>
      </c>
      <c r="F21" s="4">
        <v>0.55000000000000004</v>
      </c>
      <c r="G21" s="4">
        <v>0.55000000000000004</v>
      </c>
      <c r="H21" s="4">
        <v>0.55000000000000004</v>
      </c>
      <c r="I21" s="10">
        <f t="shared" si="1"/>
        <v>4.5713096385530498E-14</v>
      </c>
      <c r="J21" s="10">
        <f t="shared" si="2"/>
        <v>-3.8736184847597014E-17</v>
      </c>
      <c r="K21" s="10">
        <f t="shared" si="3"/>
        <v>-3.8736184847597014E-17</v>
      </c>
      <c r="L21" s="15" t="s">
        <v>46</v>
      </c>
    </row>
    <row r="22" spans="1:12" x14ac:dyDescent="0.25">
      <c r="A22" s="1" t="s">
        <v>26</v>
      </c>
      <c r="B22" s="3">
        <f>5.96-0.55</f>
        <v>5.41</v>
      </c>
      <c r="C22" s="3">
        <f>10.246-C21</f>
        <v>9.6959999999999997</v>
      </c>
      <c r="D22" s="3">
        <f>3-D21</f>
        <v>2.4500000000000002</v>
      </c>
      <c r="E22" s="3">
        <f>3-E21</f>
        <v>2.4500000000000002</v>
      </c>
      <c r="F22" s="3">
        <f>3-F21</f>
        <v>2.4500000000000002</v>
      </c>
      <c r="G22" s="3">
        <f t="shared" ref="G22" si="4">F22*(1+J22)</f>
        <v>2.4500000000000002</v>
      </c>
      <c r="H22" s="3">
        <f>G22*(1+J22)</f>
        <v>2.4500000000000002</v>
      </c>
      <c r="I22" s="10">
        <f t="shared" si="1"/>
        <v>-0.36779514619600151</v>
      </c>
      <c r="J22" s="10">
        <f t="shared" si="2"/>
        <v>8.2036374720236702E-17</v>
      </c>
      <c r="K22" s="72">
        <f t="shared" si="3"/>
        <v>8.2036374720236702E-17</v>
      </c>
      <c r="L22" s="16" t="s">
        <v>62</v>
      </c>
    </row>
    <row r="23" spans="1:12" x14ac:dyDescent="0.25">
      <c r="A23" s="2" t="s">
        <v>8</v>
      </c>
      <c r="B23" s="5">
        <f t="shared" ref="B23:G23" si="5">SUM(B18:B22)</f>
        <v>131.24</v>
      </c>
      <c r="C23" s="5">
        <f t="shared" si="5"/>
        <v>139.14900000000003</v>
      </c>
      <c r="D23" s="5">
        <f t="shared" si="5"/>
        <v>133.976</v>
      </c>
      <c r="E23" s="5">
        <f t="shared" si="5"/>
        <v>137.82449199999999</v>
      </c>
      <c r="F23" s="5">
        <f t="shared" si="5"/>
        <v>141.79525213599996</v>
      </c>
      <c r="G23" s="5">
        <f t="shared" si="5"/>
        <v>146.5143126441325</v>
      </c>
      <c r="H23" s="5">
        <f t="shared" ref="H23" si="6">SUM(H18:H22)</f>
        <v>151.77232710083294</v>
      </c>
      <c r="I23" s="11">
        <f t="shared" si="1"/>
        <v>6.2993678386876542E-3</v>
      </c>
      <c r="J23" s="11">
        <f t="shared" si="2"/>
        <v>2.8767748802830406E-2</v>
      </c>
      <c r="K23" s="10">
        <f t="shared" si="3"/>
        <v>3.4583271709500964E-2</v>
      </c>
      <c r="L23" s="15"/>
    </row>
    <row r="24" spans="1:12" x14ac:dyDescent="0.25">
      <c r="A24" s="1"/>
      <c r="B24" s="6"/>
      <c r="C24" s="6"/>
      <c r="D24" s="6"/>
      <c r="E24" s="6"/>
      <c r="F24" s="6"/>
      <c r="G24" s="6"/>
      <c r="H24" s="6"/>
      <c r="I24" s="12"/>
      <c r="J24" s="12"/>
      <c r="K24" s="12"/>
    </row>
    <row r="25" spans="1:12" ht="31.5" x14ac:dyDescent="0.25">
      <c r="A25" s="23" t="s">
        <v>42</v>
      </c>
      <c r="B25" s="24" t="s">
        <v>45</v>
      </c>
      <c r="C25" s="24" t="s">
        <v>24</v>
      </c>
      <c r="D25" s="27" t="s">
        <v>0</v>
      </c>
      <c r="E25" s="27" t="s">
        <v>1</v>
      </c>
      <c r="F25" s="27" t="s">
        <v>2</v>
      </c>
      <c r="G25" s="24" t="s">
        <v>30</v>
      </c>
      <c r="H25" s="24" t="s">
        <v>63</v>
      </c>
      <c r="I25" s="28" t="s">
        <v>9</v>
      </c>
      <c r="J25" s="28" t="s">
        <v>11</v>
      </c>
      <c r="K25" s="25" t="s">
        <v>69</v>
      </c>
      <c r="L25" s="26" t="s">
        <v>10</v>
      </c>
    </row>
    <row r="26" spans="1:12" x14ac:dyDescent="0.25">
      <c r="A26" s="1" t="s">
        <v>38</v>
      </c>
      <c r="B26" s="3">
        <v>45.351999999999997</v>
      </c>
      <c r="C26" s="3">
        <v>48.195</v>
      </c>
      <c r="D26" s="31">
        <f>51.494+0.216</f>
        <v>51.71</v>
      </c>
      <c r="E26" s="9">
        <f>D26*(1+E10)</f>
        <v>54.295500000000004</v>
      </c>
      <c r="F26" s="9">
        <f>E26*(1+F10)</f>
        <v>56.874536250000013</v>
      </c>
      <c r="G26" s="9">
        <f>F26*(1+G10)</f>
        <v>59.433890381250009</v>
      </c>
      <c r="H26" s="9">
        <f>G26*(1+H10)</f>
        <v>62.108415448406255</v>
      </c>
      <c r="I26" s="10">
        <f t="shared" ref="I26:I36" si="7">RATE(3,,-C26,F26)</f>
        <v>5.6749281678482512E-2</v>
      </c>
      <c r="J26" s="10">
        <f t="shared" ref="J26:J36" si="8">RATE(2,,-D26,F26)</f>
        <v>4.8749255065531287E-2</v>
      </c>
      <c r="K26" s="10">
        <f>RATE(2,,-F26,H26)</f>
        <v>4.5000000000426324E-2</v>
      </c>
      <c r="L26" s="16" t="s">
        <v>83</v>
      </c>
    </row>
    <row r="27" spans="1:12" x14ac:dyDescent="0.25">
      <c r="A27" s="1" t="s">
        <v>39</v>
      </c>
      <c r="B27" s="3">
        <v>7.6669999999999998</v>
      </c>
      <c r="C27" s="3">
        <f>8.677343+1.812087+1.328967</f>
        <v>11.818397000000001</v>
      </c>
      <c r="D27" s="31">
        <f>9.284758+1.938933+1.421995</f>
        <v>12.645686000000001</v>
      </c>
      <c r="E27" s="9">
        <f t="shared" ref="E27:H28" si="9">D27*(1+E11)</f>
        <v>13.467655590000001</v>
      </c>
      <c r="F27" s="9">
        <f t="shared" si="9"/>
        <v>14.309384064375001</v>
      </c>
      <c r="G27" s="9">
        <f t="shared" si="9"/>
        <v>15.167947108237502</v>
      </c>
      <c r="H27" s="9">
        <f t="shared" si="9"/>
        <v>16.078023934731753</v>
      </c>
      <c r="I27" s="10">
        <f>RATE(3,,-C27,F27)</f>
        <v>6.5828809850854653E-2</v>
      </c>
      <c r="J27" s="10">
        <f>RATE(2,,-D27,F27)</f>
        <v>6.3749265569679289E-2</v>
      </c>
      <c r="K27" s="10">
        <f>RATE(2,,-F27,H27)</f>
        <v>6.0000000000033152E-2</v>
      </c>
      <c r="L27" s="16" t="s">
        <v>83</v>
      </c>
    </row>
    <row r="28" spans="1:12" x14ac:dyDescent="0.25">
      <c r="A28" s="1" t="s">
        <v>40</v>
      </c>
      <c r="B28" s="3">
        <v>2.8769999999999998</v>
      </c>
      <c r="C28" s="3">
        <f>2.599608+0.274205</f>
        <v>2.8738129999999997</v>
      </c>
      <c r="D28" s="31">
        <f>3.387+0.08</f>
        <v>3.4670000000000001</v>
      </c>
      <c r="E28" s="9">
        <f t="shared" si="9"/>
        <v>3.5536749999999997</v>
      </c>
      <c r="F28" s="9">
        <f t="shared" si="9"/>
        <v>3.6425168749999992</v>
      </c>
      <c r="G28" s="9">
        <f t="shared" si="9"/>
        <v>3.7335797968749991</v>
      </c>
      <c r="H28" s="9">
        <f t="shared" si="9"/>
        <v>3.8269192917968735</v>
      </c>
      <c r="I28" s="10">
        <f>RATE(3,,-C28,F28)</f>
        <v>8.2217010071814575E-2</v>
      </c>
      <c r="J28" s="10">
        <f>RATE(2,,-D28,F28)</f>
        <v>2.4999999999999953E-2</v>
      </c>
      <c r="K28" s="10">
        <f>RATE(2,,-F28,H28)</f>
        <v>2.499999999999988E-2</v>
      </c>
      <c r="L28" s="16" t="s">
        <v>83</v>
      </c>
    </row>
    <row r="29" spans="1:12" x14ac:dyDescent="0.25">
      <c r="A29" s="1" t="s">
        <v>44</v>
      </c>
      <c r="B29" s="3">
        <v>0</v>
      </c>
      <c r="C29" s="3">
        <v>0.6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10"/>
      <c r="J29" s="10"/>
      <c r="K29" s="10"/>
      <c r="L29" s="16" t="s">
        <v>41</v>
      </c>
    </row>
    <row r="30" spans="1:12" x14ac:dyDescent="0.25">
      <c r="A30" s="1" t="s">
        <v>7</v>
      </c>
      <c r="B30" s="3">
        <v>32.473999999999997</v>
      </c>
      <c r="C30" s="3">
        <v>33.305</v>
      </c>
      <c r="D30" s="3">
        <v>33.375</v>
      </c>
      <c r="E30" s="9">
        <f>D30*(1+E13)</f>
        <v>34.209374999999994</v>
      </c>
      <c r="F30" s="9">
        <f>E30*(1+F13)</f>
        <v>35.064609374999989</v>
      </c>
      <c r="G30" s="9">
        <f>F30*(1+G13)</f>
        <v>35.941224609374984</v>
      </c>
      <c r="H30" s="9">
        <f>G30*(1+H13)</f>
        <v>36.839755224609355</v>
      </c>
      <c r="I30" s="10">
        <f t="shared" si="7"/>
        <v>1.7309708338030697E-2</v>
      </c>
      <c r="J30" s="10">
        <f t="shared" si="8"/>
        <v>2.4999999999999932E-2</v>
      </c>
      <c r="K30" s="10">
        <f t="shared" ref="K30:K36" si="10">RATE(2,,-F30,H30)</f>
        <v>2.4999999999999922E-2</v>
      </c>
      <c r="L30" s="16"/>
    </row>
    <row r="31" spans="1:12" x14ac:dyDescent="0.25">
      <c r="A31" s="1" t="s">
        <v>13</v>
      </c>
      <c r="B31" s="3">
        <v>6.3209999999999997</v>
      </c>
      <c r="C31" s="3">
        <v>7.5190000000000001</v>
      </c>
      <c r="D31" s="3">
        <v>7.5750000000000002</v>
      </c>
      <c r="E31" s="3">
        <v>7.7450000000000001</v>
      </c>
      <c r="F31" s="3">
        <v>7.9180000000000001</v>
      </c>
      <c r="G31" s="3">
        <f t="shared" ref="G31:G34" si="11">F31*(1+J31)</f>
        <v>8.0952809839340887</v>
      </c>
      <c r="H31" s="3">
        <f>G31*(1+J31)</f>
        <v>8.2765312211221111</v>
      </c>
      <c r="I31" s="10">
        <f t="shared" si="7"/>
        <v>1.738454854762286E-2</v>
      </c>
      <c r="J31" s="10">
        <f t="shared" si="8"/>
        <v>2.2389616561516768E-2</v>
      </c>
      <c r="K31" s="10">
        <f t="shared" si="10"/>
        <v>2.2389616561516657E-2</v>
      </c>
      <c r="L31" s="16" t="s">
        <v>47</v>
      </c>
    </row>
    <row r="32" spans="1:12" x14ac:dyDescent="0.25">
      <c r="A32" s="1" t="s">
        <v>14</v>
      </c>
      <c r="B32" s="3">
        <v>25.477</v>
      </c>
      <c r="C32" s="3">
        <v>26.213999999999999</v>
      </c>
      <c r="D32" s="3">
        <v>26.402000000000001</v>
      </c>
      <c r="E32" s="9">
        <f>D32*(1+E14)</f>
        <v>27.431677999999998</v>
      </c>
      <c r="F32" s="9">
        <f>E32*(1+F14)</f>
        <v>28.501513441999997</v>
      </c>
      <c r="G32" s="9">
        <f>F32*(1+G14)</f>
        <v>29.499066412469993</v>
      </c>
      <c r="H32" s="9">
        <f>G32*(1+H14)</f>
        <v>30.384038404844095</v>
      </c>
      <c r="I32" s="10">
        <f t="shared" si="7"/>
        <v>2.8280363131910055E-2</v>
      </c>
      <c r="J32" s="10">
        <f t="shared" si="8"/>
        <v>3.9000000000983658E-2</v>
      </c>
      <c r="K32" s="10">
        <f t="shared" si="10"/>
        <v>3.2496973363416524E-2</v>
      </c>
      <c r="L32" s="16"/>
    </row>
    <row r="33" spans="1:12" x14ac:dyDescent="0.25">
      <c r="A33" s="1" t="s">
        <v>15</v>
      </c>
      <c r="B33" s="3">
        <v>1.2490000000000001</v>
      </c>
      <c r="C33" s="3">
        <v>3.3740000000000001</v>
      </c>
      <c r="D33" s="3">
        <v>1.5609999999999999</v>
      </c>
      <c r="E33" s="3">
        <v>1.601</v>
      </c>
      <c r="F33" s="3">
        <v>1.6439999999999999</v>
      </c>
      <c r="G33" s="3">
        <f t="shared" si="11"/>
        <v>1.6871405677428037</v>
      </c>
      <c r="H33" s="3">
        <f>G33*(1+J33)</f>
        <v>1.731413196668802</v>
      </c>
      <c r="I33" s="10">
        <f t="shared" si="7"/>
        <v>-0.21310114812985417</v>
      </c>
      <c r="J33" s="10">
        <f t="shared" si="8"/>
        <v>2.6241221254747003E-2</v>
      </c>
      <c r="K33" s="10">
        <f t="shared" si="10"/>
        <v>2.6241221254746781E-2</v>
      </c>
      <c r="L33" s="15"/>
    </row>
    <row r="34" spans="1:12" x14ac:dyDescent="0.25">
      <c r="A34" s="1" t="s">
        <v>16</v>
      </c>
      <c r="B34" s="3">
        <v>5.0839999999999996</v>
      </c>
      <c r="C34" s="3">
        <v>5.2480000000000002</v>
      </c>
      <c r="D34" s="3">
        <f>5.842-0.5</f>
        <v>5.3419999999999996</v>
      </c>
      <c r="E34" s="3">
        <f>5.957-0.5</f>
        <v>5.4569999999999999</v>
      </c>
      <c r="F34" s="3">
        <f>6.08-0.5</f>
        <v>5.58</v>
      </c>
      <c r="G34" s="3">
        <f t="shared" si="11"/>
        <v>5.7029472764167242</v>
      </c>
      <c r="H34" s="3">
        <f>G34*(1+J34)</f>
        <v>5.8286035192811703</v>
      </c>
      <c r="I34" s="10">
        <f t="shared" si="7"/>
        <v>2.065771853799413E-2</v>
      </c>
      <c r="J34" s="10">
        <f t="shared" si="8"/>
        <v>2.2033562081850054E-2</v>
      </c>
      <c r="K34" s="10">
        <f t="shared" si="10"/>
        <v>2.2033562081850297E-2</v>
      </c>
      <c r="L34" s="15"/>
    </row>
    <row r="35" spans="1:12" x14ac:dyDescent="0.25">
      <c r="A35" s="1" t="s">
        <v>64</v>
      </c>
      <c r="B35" s="3"/>
      <c r="C35" s="3"/>
      <c r="D35" s="32">
        <v>0.5</v>
      </c>
      <c r="E35" s="32">
        <v>0.5</v>
      </c>
      <c r="F35" s="32">
        <v>0.5</v>
      </c>
      <c r="G35" s="32">
        <v>0.5</v>
      </c>
      <c r="H35" s="32">
        <v>0.5</v>
      </c>
      <c r="I35" s="10"/>
      <c r="J35" s="10">
        <f t="shared" si="8"/>
        <v>7.7404550817594379E-17</v>
      </c>
      <c r="K35" s="72">
        <f t="shared" si="10"/>
        <v>7.7404550817594379E-17</v>
      </c>
      <c r="L35" s="16" t="s">
        <v>48</v>
      </c>
    </row>
    <row r="36" spans="1:12" x14ac:dyDescent="0.25">
      <c r="A36" s="2" t="s">
        <v>5</v>
      </c>
      <c r="B36" s="5">
        <f t="shared" ref="B36:G36" si="12">SUM(B26:B35)</f>
        <v>126.501</v>
      </c>
      <c r="C36" s="5">
        <f t="shared" si="12"/>
        <v>139.14721</v>
      </c>
      <c r="D36" s="5">
        <f t="shared" si="12"/>
        <v>142.57768600000003</v>
      </c>
      <c r="E36" s="5">
        <f t="shared" si="12"/>
        <v>148.26088358999999</v>
      </c>
      <c r="F36" s="5">
        <f t="shared" si="12"/>
        <v>154.03456000637502</v>
      </c>
      <c r="G36" s="5">
        <f t="shared" si="12"/>
        <v>159.76107713630111</v>
      </c>
      <c r="H36" s="5">
        <f t="shared" ref="H36" si="13">SUM(H26:H35)</f>
        <v>165.57370024146041</v>
      </c>
      <c r="I36" s="11">
        <f t="shared" si="7"/>
        <v>3.4462034817760077E-2</v>
      </c>
      <c r="J36" s="11">
        <f t="shared" si="8"/>
        <v>3.9401418577634927E-2</v>
      </c>
      <c r="K36" s="10">
        <f t="shared" si="10"/>
        <v>3.677995277441018E-2</v>
      </c>
      <c r="L36" s="16" t="s">
        <v>61</v>
      </c>
    </row>
    <row r="37" spans="1:12" x14ac:dyDescent="0.25">
      <c r="A37" s="1"/>
      <c r="B37" s="3"/>
      <c r="C37" s="3"/>
      <c r="D37" s="3"/>
      <c r="E37" s="3"/>
      <c r="F37" s="3"/>
      <c r="G37" s="3"/>
      <c r="H37" s="3"/>
      <c r="I37" s="10"/>
      <c r="J37" s="10"/>
      <c r="K37" s="10"/>
    </row>
    <row r="38" spans="1:12" x14ac:dyDescent="0.25">
      <c r="A38" s="17" t="s">
        <v>17</v>
      </c>
      <c r="B38" s="34">
        <f t="shared" ref="B38:H38" si="14">B23-B36</f>
        <v>4.7390000000000043</v>
      </c>
      <c r="C38" s="34">
        <f t="shared" si="14"/>
        <v>1.790000000028158E-3</v>
      </c>
      <c r="D38" s="34">
        <f t="shared" si="14"/>
        <v>-8.6016860000000293</v>
      </c>
      <c r="E38" s="34">
        <f t="shared" si="14"/>
        <v>-10.436391589999999</v>
      </c>
      <c r="F38" s="34">
        <f t="shared" si="14"/>
        <v>-12.239307870375058</v>
      </c>
      <c r="G38" s="34">
        <f t="shared" si="14"/>
        <v>-13.246764492168609</v>
      </c>
      <c r="H38" s="34">
        <f t="shared" si="14"/>
        <v>-13.801373140627476</v>
      </c>
      <c r="I38" s="35"/>
      <c r="J38" s="35"/>
      <c r="K38" s="35"/>
      <c r="L38" s="17"/>
    </row>
    <row r="39" spans="1:12" x14ac:dyDescent="0.25">
      <c r="A39" s="1"/>
      <c r="B39" s="7"/>
      <c r="C39" s="7"/>
      <c r="D39" s="7"/>
      <c r="E39" s="7"/>
      <c r="F39" s="7"/>
      <c r="G39" s="7"/>
      <c r="H39" s="7"/>
      <c r="I39" s="13"/>
      <c r="J39" s="13"/>
      <c r="K39" s="13"/>
    </row>
    <row r="40" spans="1:12" ht="31.5" x14ac:dyDescent="0.25">
      <c r="A40" s="23" t="s">
        <v>31</v>
      </c>
      <c r="B40" s="27"/>
      <c r="C40" s="27"/>
      <c r="D40" s="27" t="s">
        <v>0</v>
      </c>
      <c r="E40" s="27" t="s">
        <v>1</v>
      </c>
      <c r="F40" s="27" t="s">
        <v>2</v>
      </c>
      <c r="G40" s="24" t="s">
        <v>30</v>
      </c>
      <c r="H40" s="24" t="s">
        <v>63</v>
      </c>
      <c r="I40" s="28"/>
      <c r="J40" s="28" t="s">
        <v>11</v>
      </c>
      <c r="K40" s="25" t="s">
        <v>69</v>
      </c>
      <c r="L40" s="26" t="s">
        <v>10</v>
      </c>
    </row>
    <row r="41" spans="1:12" x14ac:dyDescent="0.25">
      <c r="A41" s="1" t="s">
        <v>49</v>
      </c>
      <c r="B41" s="8"/>
      <c r="C41" s="8"/>
      <c r="D41" s="31">
        <v>9.1999999999999993</v>
      </c>
      <c r="E41" s="4">
        <f>D41*1.025</f>
        <v>9.4299999999999979</v>
      </c>
      <c r="F41" s="4">
        <f>E41*1.025</f>
        <v>9.6657499999999974</v>
      </c>
      <c r="G41" s="4">
        <f>F41*1.025</f>
        <v>9.9073937499999971</v>
      </c>
      <c r="H41" s="4">
        <f>G41*1.025</f>
        <v>10.155078593749996</v>
      </c>
      <c r="I41" s="14"/>
      <c r="J41" s="10">
        <f t="shared" ref="J41" si="15">RATE(2,,-D41,F41)</f>
        <v>2.4999999999999918E-2</v>
      </c>
      <c r="K41" s="10">
        <f>RATE(2,,-F41,H41)</f>
        <v>2.4999999999999922E-2</v>
      </c>
      <c r="L41" s="16" t="s">
        <v>50</v>
      </c>
    </row>
    <row r="42" spans="1:12" x14ac:dyDescent="0.25">
      <c r="A42" s="1" t="s">
        <v>25</v>
      </c>
      <c r="B42" s="8"/>
      <c r="C42" s="8"/>
      <c r="D42" s="31">
        <v>0</v>
      </c>
      <c r="E42" s="31">
        <v>1.01</v>
      </c>
      <c r="F42" s="31">
        <v>2.58</v>
      </c>
      <c r="G42" s="31">
        <v>0</v>
      </c>
      <c r="H42" s="31">
        <v>0</v>
      </c>
      <c r="I42" s="14"/>
      <c r="J42" s="10"/>
      <c r="K42" s="10"/>
      <c r="L42" s="16" t="str">
        <f>_xlfn.CONCAT("Total Additional FC usage = $",SUM(D42:G42), "M")</f>
        <v>Total Additional FC usage = $3.59M</v>
      </c>
    </row>
    <row r="43" spans="1:12" x14ac:dyDescent="0.25">
      <c r="A43" s="1"/>
      <c r="B43" s="8"/>
      <c r="C43" s="8"/>
      <c r="D43" s="4"/>
      <c r="E43" s="4"/>
      <c r="F43" s="4"/>
      <c r="G43" s="4"/>
      <c r="H43" s="4"/>
      <c r="I43" s="14"/>
      <c r="J43" s="14"/>
      <c r="K43" s="14"/>
    </row>
    <row r="44" spans="1:12" x14ac:dyDescent="0.25">
      <c r="A44" s="17" t="s">
        <v>18</v>
      </c>
      <c r="B44" s="36"/>
      <c r="C44" s="36"/>
      <c r="D44" s="36">
        <f>D38+SUM(D41:D42)</f>
        <v>0.59831399999997004</v>
      </c>
      <c r="E44" s="36">
        <f>E38+SUM(E41:E42)</f>
        <v>3.60840999999823E-3</v>
      </c>
      <c r="F44" s="36">
        <f>F38+SUM(F41:F42)</f>
        <v>6.4421296249399518E-3</v>
      </c>
      <c r="G44" s="36">
        <f>G38+SUM(G41:G42)</f>
        <v>-3.3393707421686116</v>
      </c>
      <c r="H44" s="36">
        <f>H38+SUM(H41:H42)</f>
        <v>-3.6462945468774794</v>
      </c>
      <c r="I44" s="37"/>
      <c r="J44" s="37"/>
      <c r="K44" s="37"/>
      <c r="L44" s="41" t="s">
        <v>56</v>
      </c>
    </row>
    <row r="45" spans="1:12" x14ac:dyDescent="0.25">
      <c r="A45" s="1"/>
      <c r="B45" s="7"/>
      <c r="C45" s="3"/>
      <c r="D45" s="3"/>
      <c r="E45" s="3"/>
      <c r="F45" s="3"/>
      <c r="G45" s="3"/>
      <c r="H45" s="3"/>
      <c r="I45" s="3"/>
    </row>
    <row r="46" spans="1:12" x14ac:dyDescent="0.25">
      <c r="A46" s="48"/>
      <c r="B46" s="49"/>
      <c r="C46" s="52"/>
      <c r="D46" s="49"/>
      <c r="E46" s="49"/>
      <c r="F46" s="49"/>
      <c r="G46" s="50"/>
      <c r="H46" s="50"/>
      <c r="I46" s="50"/>
      <c r="J46" s="51"/>
      <c r="K46" s="51"/>
    </row>
    <row r="47" spans="1:12" x14ac:dyDescent="0.25">
      <c r="A47" s="39"/>
      <c r="B47" s="51"/>
      <c r="C47" s="51"/>
    </row>
    <row r="48" spans="1:12" x14ac:dyDescent="0.25">
      <c r="A48" s="39"/>
      <c r="B48" s="51"/>
      <c r="C48" s="51"/>
    </row>
    <row r="49" spans="1:12" ht="31.5" x14ac:dyDescent="0.25">
      <c r="A49" s="42" t="s">
        <v>22</v>
      </c>
      <c r="B49" s="68"/>
      <c r="C49" s="85"/>
      <c r="D49" s="85" t="s">
        <v>0</v>
      </c>
      <c r="E49" s="85" t="s">
        <v>1</v>
      </c>
      <c r="F49" s="85" t="s">
        <v>2</v>
      </c>
      <c r="G49" s="86" t="s">
        <v>30</v>
      </c>
      <c r="H49" s="87" t="s">
        <v>63</v>
      </c>
    </row>
    <row r="50" spans="1:12" x14ac:dyDescent="0.25">
      <c r="A50" s="18" t="s">
        <v>37</v>
      </c>
      <c r="B50" s="93">
        <v>3</v>
      </c>
      <c r="C50" s="68"/>
      <c r="D50" s="68"/>
      <c r="E50" s="68"/>
      <c r="F50" s="68"/>
      <c r="G50" s="68"/>
      <c r="H50" s="43"/>
    </row>
    <row r="51" spans="1:12" x14ac:dyDescent="0.25">
      <c r="A51" s="20" t="s">
        <v>23</v>
      </c>
      <c r="B51" s="83">
        <v>0.03</v>
      </c>
      <c r="C51" s="94"/>
      <c r="D51" s="94"/>
      <c r="E51" s="94"/>
      <c r="F51" s="94"/>
      <c r="G51" s="94"/>
      <c r="H51" s="92"/>
    </row>
    <row r="52" spans="1:12" x14ac:dyDescent="0.25">
      <c r="A52" s="21" t="s">
        <v>58</v>
      </c>
      <c r="B52" s="66"/>
      <c r="C52" s="91"/>
      <c r="D52" s="88">
        <v>1.5</v>
      </c>
      <c r="E52" s="88">
        <v>0</v>
      </c>
      <c r="F52" s="88">
        <v>0</v>
      </c>
      <c r="G52" s="88">
        <v>0</v>
      </c>
      <c r="H52" s="89">
        <v>0</v>
      </c>
    </row>
    <row r="53" spans="1:12" x14ac:dyDescent="0.25">
      <c r="H53" s="81"/>
    </row>
    <row r="54" spans="1:12" x14ac:dyDescent="0.25">
      <c r="A54" s="42" t="s">
        <v>52</v>
      </c>
      <c r="B54" s="29"/>
    </row>
    <row r="55" spans="1:12" x14ac:dyDescent="0.25">
      <c r="A55" s="19" t="s">
        <v>57</v>
      </c>
      <c r="B55" s="38">
        <v>11.77</v>
      </c>
    </row>
    <row r="56" spans="1:12" x14ac:dyDescent="0.25">
      <c r="A56" t="s">
        <v>19</v>
      </c>
      <c r="B56" s="9">
        <f>-B15</f>
        <v>-3</v>
      </c>
    </row>
    <row r="57" spans="1:12" x14ac:dyDescent="0.25">
      <c r="A57" t="s">
        <v>55</v>
      </c>
      <c r="B57" s="3">
        <f>-B51*C23</f>
        <v>-4.1744700000000003</v>
      </c>
    </row>
    <row r="58" spans="1:12" x14ac:dyDescent="0.25">
      <c r="A58" t="s">
        <v>89</v>
      </c>
      <c r="B58" s="9">
        <f>-SUM(D52:H52)</f>
        <v>-1.5</v>
      </c>
    </row>
    <row r="59" spans="1:12" x14ac:dyDescent="0.25">
      <c r="A59" s="22" t="s">
        <v>94</v>
      </c>
      <c r="B59" s="30">
        <f>SUM(B55:B58)</f>
        <v>3.0955299999999992</v>
      </c>
    </row>
    <row r="61" spans="1:12" ht="31.5" x14ac:dyDescent="0.25">
      <c r="A61" s="23" t="s">
        <v>90</v>
      </c>
      <c r="B61" s="24"/>
      <c r="C61" s="24"/>
      <c r="D61" s="27" t="s">
        <v>0</v>
      </c>
      <c r="E61" s="27" t="s">
        <v>1</v>
      </c>
      <c r="F61" s="27" t="s">
        <v>2</v>
      </c>
      <c r="G61" s="24" t="s">
        <v>30</v>
      </c>
      <c r="H61" s="24" t="s">
        <v>63</v>
      </c>
      <c r="I61" s="28"/>
      <c r="J61" s="26"/>
      <c r="K61" s="26"/>
      <c r="L61" s="26" t="s">
        <v>10</v>
      </c>
    </row>
    <row r="62" spans="1:12" x14ac:dyDescent="0.25">
      <c r="A62" s="1" t="s">
        <v>91</v>
      </c>
      <c r="D62" s="55">
        <f>B59</f>
        <v>3.0955299999999992</v>
      </c>
      <c r="E62" s="6"/>
      <c r="F62" s="6"/>
      <c r="G62" s="6"/>
      <c r="H62" s="6"/>
    </row>
    <row r="63" spans="1:12" x14ac:dyDescent="0.25">
      <c r="A63" s="1" t="s">
        <v>93</v>
      </c>
      <c r="D63" s="6">
        <f>D62</f>
        <v>3.0955299999999992</v>
      </c>
      <c r="E63" s="6">
        <f>D66</f>
        <v>3.6938439999999693</v>
      </c>
      <c r="F63" s="6">
        <f>E66</f>
        <v>2.6874524099999677</v>
      </c>
      <c r="G63" s="6">
        <f>F66</f>
        <v>0.11389453962490759</v>
      </c>
      <c r="H63" s="6">
        <f>G66</f>
        <v>-3.225476202543704</v>
      </c>
    </row>
    <row r="64" spans="1:12" x14ac:dyDescent="0.25">
      <c r="A64" s="1" t="s">
        <v>33</v>
      </c>
      <c r="D64" s="55">
        <f>-D42</f>
        <v>0</v>
      </c>
      <c r="E64" s="55">
        <f>-E42</f>
        <v>-1.01</v>
      </c>
      <c r="F64" s="55">
        <f>-F42</f>
        <v>-2.58</v>
      </c>
      <c r="G64" s="55">
        <f>-G42</f>
        <v>0</v>
      </c>
      <c r="H64" s="55">
        <f>-H42</f>
        <v>0</v>
      </c>
    </row>
    <row r="65" spans="1:12" x14ac:dyDescent="0.25">
      <c r="A65" s="1" t="s">
        <v>88</v>
      </c>
      <c r="C65" s="3"/>
      <c r="D65" s="55">
        <f>D44</f>
        <v>0.59831399999997004</v>
      </c>
      <c r="E65" s="55">
        <f t="shared" ref="E65:H65" si="16">E44</f>
        <v>3.60840999999823E-3</v>
      </c>
      <c r="F65" s="55">
        <f t="shared" si="16"/>
        <v>6.4421296249399518E-3</v>
      </c>
      <c r="G65" s="55">
        <f t="shared" si="16"/>
        <v>-3.3393707421686116</v>
      </c>
      <c r="H65" s="55">
        <f t="shared" si="16"/>
        <v>-3.6462945468774794</v>
      </c>
    </row>
    <row r="66" spans="1:12" x14ac:dyDescent="0.25">
      <c r="A66" s="17" t="s">
        <v>92</v>
      </c>
      <c r="B66" s="57"/>
      <c r="C66" s="57"/>
      <c r="D66" s="58">
        <f>SUM(D63:D65)</f>
        <v>3.6938439999999693</v>
      </c>
      <c r="E66" s="58">
        <f>SUM(E63:E65)</f>
        <v>2.6874524099999677</v>
      </c>
      <c r="F66" s="58">
        <f>SUM(F63:F65)</f>
        <v>0.11389453962490759</v>
      </c>
      <c r="G66" s="58">
        <f>SUM(G63:G65)</f>
        <v>-3.225476202543704</v>
      </c>
      <c r="H66" s="58">
        <f>SUM(H63:H65)</f>
        <v>-6.8717707494211835</v>
      </c>
      <c r="I66" s="56"/>
      <c r="J66" s="56"/>
      <c r="K66" s="56"/>
      <c r="L66" s="41" t="s">
        <v>95</v>
      </c>
    </row>
    <row r="67" spans="1:12" x14ac:dyDescent="0.25">
      <c r="A67" s="39"/>
      <c r="B67" s="51"/>
      <c r="C67" s="51"/>
    </row>
    <row r="68" spans="1:12" x14ac:dyDescent="0.25">
      <c r="A68" s="39"/>
      <c r="B68" s="51"/>
      <c r="C68" s="51"/>
    </row>
    <row r="69" spans="1:12" x14ac:dyDescent="0.25">
      <c r="A69" s="39"/>
      <c r="B69" s="51"/>
      <c r="C69" s="51"/>
    </row>
    <row r="71" spans="1:12" ht="31.5" x14ac:dyDescent="0.25">
      <c r="A71" s="23" t="s">
        <v>6</v>
      </c>
      <c r="B71" s="24"/>
      <c r="C71" s="24"/>
      <c r="D71" s="27" t="s">
        <v>0</v>
      </c>
      <c r="E71" s="27" t="s">
        <v>1</v>
      </c>
      <c r="F71" s="27" t="s">
        <v>2</v>
      </c>
      <c r="G71" s="24" t="s">
        <v>30</v>
      </c>
      <c r="H71" s="24" t="s">
        <v>63</v>
      </c>
      <c r="I71" s="28"/>
      <c r="J71" s="26"/>
      <c r="K71" s="26"/>
      <c r="L71" s="26" t="s">
        <v>10</v>
      </c>
    </row>
    <row r="72" spans="1:12" x14ac:dyDescent="0.25">
      <c r="A72" s="1" t="s">
        <v>87</v>
      </c>
      <c r="E72" s="55">
        <f>$B50</f>
        <v>3</v>
      </c>
      <c r="F72" s="55">
        <f>$B50</f>
        <v>3</v>
      </c>
      <c r="G72" s="55">
        <f>$B50</f>
        <v>3</v>
      </c>
      <c r="H72" s="55">
        <f>$B50</f>
        <v>3</v>
      </c>
      <c r="I72" s="10"/>
      <c r="J72" s="16"/>
      <c r="K72" s="16"/>
      <c r="L72" s="16"/>
    </row>
    <row r="73" spans="1:12" x14ac:dyDescent="0.25">
      <c r="A73" s="1" t="s">
        <v>88</v>
      </c>
      <c r="C73" s="3"/>
      <c r="E73" s="6">
        <f>D44</f>
        <v>0.59831399999997004</v>
      </c>
      <c r="F73" s="6">
        <f>E44</f>
        <v>3.60840999999823E-3</v>
      </c>
      <c r="G73" s="6">
        <f>F44</f>
        <v>6.4421296249399518E-3</v>
      </c>
      <c r="H73" s="6">
        <f>G44</f>
        <v>-3.3393707421686116</v>
      </c>
      <c r="L73" s="16"/>
    </row>
    <row r="74" spans="1:12" x14ac:dyDescent="0.25">
      <c r="A74" s="1" t="s">
        <v>86</v>
      </c>
      <c r="C74" s="3"/>
      <c r="D74" s="55">
        <f>B55</f>
        <v>11.77</v>
      </c>
      <c r="E74" s="3">
        <f>D79+E72+E73</f>
        <v>10.86831399999997</v>
      </c>
      <c r="F74" s="3">
        <f>E79+F72+F73</f>
        <v>9.8619224099999663</v>
      </c>
      <c r="G74" s="3">
        <f>F79+G72+G73</f>
        <v>7.2883645396249053</v>
      </c>
      <c r="H74" s="3">
        <f>G79+H72+H73</f>
        <v>3.9489937974562936</v>
      </c>
      <c r="L74" s="16" t="s">
        <v>85</v>
      </c>
    </row>
    <row r="75" spans="1:12" x14ac:dyDescent="0.25">
      <c r="A75" s="1" t="s">
        <v>58</v>
      </c>
      <c r="C75" s="3"/>
      <c r="D75" s="55">
        <f>-D52</f>
        <v>-1.5</v>
      </c>
      <c r="E75" s="55">
        <f t="shared" ref="E75:H75" si="17">-E52</f>
        <v>0</v>
      </c>
      <c r="F75" s="55">
        <f t="shared" si="17"/>
        <v>0</v>
      </c>
      <c r="G75" s="55">
        <f t="shared" si="17"/>
        <v>0</v>
      </c>
      <c r="H75" s="55">
        <f t="shared" si="17"/>
        <v>0</v>
      </c>
      <c r="L75" s="16" t="s">
        <v>32</v>
      </c>
    </row>
    <row r="76" spans="1:12" x14ac:dyDescent="0.25">
      <c r="A76" s="1" t="s">
        <v>36</v>
      </c>
      <c r="C76" s="3"/>
      <c r="D76" s="3">
        <f t="shared" ref="D76:H77" si="18">-D21</f>
        <v>-0.55000000000000004</v>
      </c>
      <c r="E76" s="3">
        <f t="shared" si="18"/>
        <v>-0.55000000000000004</v>
      </c>
      <c r="F76" s="3">
        <f t="shared" si="18"/>
        <v>-0.55000000000000004</v>
      </c>
      <c r="G76" s="3">
        <f t="shared" si="18"/>
        <v>-0.55000000000000004</v>
      </c>
      <c r="H76" s="3">
        <f t="shared" si="18"/>
        <v>-0.55000000000000004</v>
      </c>
    </row>
    <row r="77" spans="1:12" x14ac:dyDescent="0.25">
      <c r="A77" s="1" t="s">
        <v>35</v>
      </c>
      <c r="C77" s="3"/>
      <c r="D77" s="3">
        <f t="shared" si="18"/>
        <v>-2.4500000000000002</v>
      </c>
      <c r="E77" s="3">
        <f t="shared" si="18"/>
        <v>-2.4500000000000002</v>
      </c>
      <c r="F77" s="3">
        <f t="shared" si="18"/>
        <v>-2.4500000000000002</v>
      </c>
      <c r="G77" s="3">
        <f t="shared" si="18"/>
        <v>-2.4500000000000002</v>
      </c>
      <c r="H77" s="3">
        <f t="shared" si="18"/>
        <v>-2.4500000000000002</v>
      </c>
    </row>
    <row r="78" spans="1:12" x14ac:dyDescent="0.25">
      <c r="A78" s="1" t="s">
        <v>33</v>
      </c>
      <c r="D78" s="55">
        <f>-D42</f>
        <v>0</v>
      </c>
      <c r="E78" s="55">
        <f>-E42</f>
        <v>-1.01</v>
      </c>
      <c r="F78" s="55">
        <f>-F42</f>
        <v>-2.58</v>
      </c>
      <c r="G78" s="55">
        <f>-G42</f>
        <v>0</v>
      </c>
      <c r="H78" s="55">
        <f>-H42</f>
        <v>0</v>
      </c>
    </row>
    <row r="79" spans="1:12" x14ac:dyDescent="0.25">
      <c r="A79" s="17" t="s">
        <v>34</v>
      </c>
      <c r="B79" s="57"/>
      <c r="C79" s="57"/>
      <c r="D79" s="58">
        <f>SUM(D74:D78)</f>
        <v>7.2699999999999987</v>
      </c>
      <c r="E79" s="58">
        <f>SUM(E74:E78)</f>
        <v>6.8583139999999689</v>
      </c>
      <c r="F79" s="58">
        <f>SUM(F74:F78)</f>
        <v>4.2819224099999653</v>
      </c>
      <c r="G79" s="58">
        <f>SUM(G74:G78)</f>
        <v>4.2883645396249053</v>
      </c>
      <c r="H79" s="58">
        <f>SUM(H74:H78)</f>
        <v>0.94899379745629364</v>
      </c>
      <c r="I79" s="56"/>
      <c r="J79" s="56"/>
      <c r="K79" s="56"/>
      <c r="L79" s="41" t="s">
        <v>54</v>
      </c>
    </row>
    <row r="80" spans="1:12" x14ac:dyDescent="0.25">
      <c r="I80" s="19"/>
      <c r="J80" s="19"/>
      <c r="K80" s="19"/>
    </row>
    <row r="81" spans="1:8" x14ac:dyDescent="0.25">
      <c r="A81" s="39" t="s">
        <v>53</v>
      </c>
      <c r="C81" s="39"/>
      <c r="D81" s="40">
        <f>$B$51*C23</f>
        <v>4.1744700000000003</v>
      </c>
      <c r="E81" s="40">
        <f>$B$51*D23</f>
        <v>4.0192800000000002</v>
      </c>
      <c r="F81" s="40">
        <f>$B$51*E23</f>
        <v>4.1347347599999997</v>
      </c>
      <c r="G81" s="40">
        <f>$B$51*F23</f>
        <v>4.2538575640799987</v>
      </c>
      <c r="H81" s="40">
        <f>$B$51*G23</f>
        <v>4.3954293793239749</v>
      </c>
    </row>
  </sheetData>
  <conditionalFormatting sqref="D44">
    <cfRule type="expression" dxfId="34" priority="36">
      <formula>$D$44&lt;0</formula>
    </cfRule>
  </conditionalFormatting>
  <conditionalFormatting sqref="D79">
    <cfRule type="expression" dxfId="33" priority="31">
      <formula>$D$79&lt;$D$81</formula>
    </cfRule>
  </conditionalFormatting>
  <conditionalFormatting sqref="E44">
    <cfRule type="expression" dxfId="32" priority="35">
      <formula>$E$44&lt;0</formula>
    </cfRule>
  </conditionalFormatting>
  <conditionalFormatting sqref="E79">
    <cfRule type="expression" dxfId="31" priority="30">
      <formula>$E$79&lt;$E$81</formula>
    </cfRule>
  </conditionalFormatting>
  <conditionalFormatting sqref="F44">
    <cfRule type="expression" dxfId="30" priority="34">
      <formula>$F$44&lt;0</formula>
    </cfRule>
  </conditionalFormatting>
  <conditionalFormatting sqref="F79">
    <cfRule type="expression" dxfId="29" priority="29">
      <formula>$F$79&lt;$F$81</formula>
    </cfRule>
  </conditionalFormatting>
  <conditionalFormatting sqref="G79">
    <cfRule type="expression" dxfId="28" priority="28">
      <formula>$G$79&lt;$G$81</formula>
    </cfRule>
  </conditionalFormatting>
  <conditionalFormatting sqref="G44:H44">
    <cfRule type="expression" dxfId="27" priority="33">
      <formula>$G$44&lt;0</formula>
    </cfRule>
  </conditionalFormatting>
  <conditionalFormatting sqref="H79">
    <cfRule type="expression" dxfId="26" priority="27">
      <formula>$H$79&lt;$H$81</formula>
    </cfRule>
  </conditionalFormatting>
  <conditionalFormatting sqref="D66">
    <cfRule type="expression" dxfId="25" priority="5">
      <formula>$D$66&lt;0</formula>
    </cfRule>
    <cfRule type="expression" dxfId="24" priority="10">
      <formula>$D$50&lt;0</formula>
    </cfRule>
    <cfRule type="expression" dxfId="23" priority="15">
      <formula>#REF!&lt;0</formula>
    </cfRule>
    <cfRule type="expression" dxfId="22" priority="16">
      <formula>#REF!&lt;0</formula>
    </cfRule>
    <cfRule type="expression" dxfId="21" priority="25">
      <formula>#REF!&lt;0</formula>
    </cfRule>
  </conditionalFormatting>
  <conditionalFormatting sqref="D66:H66">
    <cfRule type="expression" dxfId="20" priority="26">
      <formula>#REF!&lt;#REF!</formula>
    </cfRule>
  </conditionalFormatting>
  <conditionalFormatting sqref="E66">
    <cfRule type="expression" dxfId="19" priority="4">
      <formula>$E$66&lt;0</formula>
    </cfRule>
    <cfRule type="expression" dxfId="18" priority="9">
      <formula>$E$50&lt;0</formula>
    </cfRule>
    <cfRule type="expression" dxfId="17" priority="14">
      <formula>#REF!&lt;0</formula>
    </cfRule>
    <cfRule type="expression" dxfId="16" priority="17">
      <formula>#REF!&lt;0</formula>
    </cfRule>
    <cfRule type="expression" dxfId="15" priority="24">
      <formula>#REF!&lt;0</formula>
    </cfRule>
  </conditionalFormatting>
  <conditionalFormatting sqref="F66">
    <cfRule type="expression" dxfId="14" priority="3">
      <formula>$F$66&lt;0</formula>
    </cfRule>
    <cfRule type="expression" dxfId="13" priority="8">
      <formula>$F$50&lt;0</formula>
    </cfRule>
    <cfRule type="expression" dxfId="12" priority="13">
      <formula>#REF!&lt;0</formula>
    </cfRule>
    <cfRule type="expression" dxfId="11" priority="18">
      <formula>#REF!&lt;0</formula>
    </cfRule>
    <cfRule type="expression" dxfId="10" priority="23">
      <formula>#REF!&lt;0</formula>
    </cfRule>
  </conditionalFormatting>
  <conditionalFormatting sqref="G66">
    <cfRule type="expression" dxfId="9" priority="2">
      <formula>$G$66&lt;0</formula>
    </cfRule>
    <cfRule type="expression" dxfId="8" priority="7">
      <formula>$G$50&lt;0</formula>
    </cfRule>
    <cfRule type="expression" dxfId="7" priority="12">
      <formula>#REF!&lt;0</formula>
    </cfRule>
    <cfRule type="expression" dxfId="6" priority="19">
      <formula>#REF!&lt;0</formula>
    </cfRule>
    <cfRule type="expression" dxfId="5" priority="22">
      <formula>#REF!&lt;0</formula>
    </cfRule>
  </conditionalFormatting>
  <conditionalFormatting sqref="H66">
    <cfRule type="expression" dxfId="4" priority="1">
      <formula>$H$66&lt;0</formula>
    </cfRule>
    <cfRule type="expression" dxfId="3" priority="6">
      <formula>$H$50&lt;0</formula>
    </cfRule>
    <cfRule type="expression" dxfId="2" priority="11">
      <formula>#REF!&lt;0</formula>
    </cfRule>
    <cfRule type="expression" dxfId="1" priority="20">
      <formula>#REF!&lt;0</formula>
    </cfRule>
    <cfRule type="expression" dxfId="0" priority="21">
      <formula>#REF!&lt;0</formula>
    </cfRule>
  </conditionalFormatting>
  <pageMargins left="0.7" right="0.7" top="0.75" bottom="0.75" header="0.3" footer="0.3"/>
  <pageSetup scale="4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Override</vt:lpstr>
      <vt:lpstr>FY25 LS + Historical Gr.</vt:lpstr>
      <vt:lpstr>FY25 LS + Moderated Gr.</vt:lpstr>
      <vt:lpstr>FY25 LS + Moderated Gr. + Rev</vt:lpstr>
      <vt:lpstr>FY25 OR + Moderated Gr. + Rev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Caputo</dc:creator>
  <cp:lastModifiedBy>Goudie, James</cp:lastModifiedBy>
  <cp:lastPrinted>2023-11-29T17:09:38Z</cp:lastPrinted>
  <dcterms:created xsi:type="dcterms:W3CDTF">2023-10-20T18:14:59Z</dcterms:created>
  <dcterms:modified xsi:type="dcterms:W3CDTF">2023-12-13T13:59:22Z</dcterms:modified>
</cp:coreProperties>
</file>